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Sellest_töövihikust" defaultThemeVersion="166925"/>
  <mc:AlternateContent xmlns:mc="http://schemas.openxmlformats.org/markup-compatibility/2006">
    <mc:Choice Requires="x15">
      <x15ac:absPath xmlns:x15ac="http://schemas.microsoft.com/office/spreadsheetml/2010/11/ac" url="https://delta.mkm.ee/dhs/webdav/b552434dc5b76bc9373552055453a5e8c5e230d8/37906272215/3748a501-ae7f-495e-a1e2-94dd11e4e2ef/"/>
    </mc:Choice>
  </mc:AlternateContent>
  <xr:revisionPtr revIDLastSave="0" documentId="13_ncr:1_{A4508704-9076-4871-8DFC-5808F8AB3B85}" xr6:coauthVersionLast="47" xr6:coauthVersionMax="47" xr10:uidLastSave="{00000000-0000-0000-0000-000000000000}"/>
  <bookViews>
    <workbookView xWindow="-120" yWindow="-120" windowWidth="29040" windowHeight="15720" tabRatio="935" firstSheet="2" activeTab="2" xr2:uid="{00000000-000D-0000-FFFF-FFFF00000000}"/>
  </bookViews>
  <sheets>
    <sheet name="kuni 2025 detsember tegevuskava" sheetId="10" state="hidden" r:id="rId1"/>
    <sheet name="Seirearuanne" sheetId="24" state="hidden" r:id="rId2"/>
    <sheet name="Tegevuskava" sheetId="23" r:id="rId3"/>
    <sheet name="KK_lisa" sheetId="22" state="hidden" r:id="rId4"/>
    <sheet name="Ettekande arvutused" sheetId="26" state="hidden" r:id="rId5"/>
    <sheet name="Personal tervise valdkond" sheetId="27" state="hidden" r:id="rId6"/>
    <sheet name="Personal sots-kaitse valdkond" sheetId="28" state="hidden" r:id="rId7"/>
  </sheets>
  <definedNames>
    <definedName name="_xlnm._FilterDatabase" localSheetId="0" hidden="1">'kuni 2025 detsember tegevuskava'!$A$33:$AR$75</definedName>
    <definedName name="_xlnm._FilterDatabase" localSheetId="5" hidden="1">'Personal tervise valdkond'!$A$5:$T$56</definedName>
    <definedName name="_xlnm.Print_Area" localSheetId="2">Tegevuskava!$A$2:$P$299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8" i="23" l="1"/>
  <c r="O292" i="23" s="1"/>
  <c r="O287" i="23"/>
  <c r="M288" i="23"/>
  <c r="M287" i="23"/>
  <c r="K288" i="23"/>
  <c r="K292" i="23" s="1"/>
  <c r="K287" i="23"/>
  <c r="K291" i="23" s="1"/>
  <c r="F286" i="23"/>
  <c r="E286" i="23"/>
  <c r="D286" i="23"/>
  <c r="C286" i="23"/>
  <c r="B286" i="23"/>
  <c r="O281" i="23"/>
  <c r="O285" i="23" s="1"/>
  <c r="O280" i="23"/>
  <c r="O284" i="23" s="1"/>
  <c r="M281" i="23"/>
  <c r="M280" i="23"/>
  <c r="M284" i="23" s="1"/>
  <c r="K281" i="23"/>
  <c r="K285" i="23" s="1"/>
  <c r="K280" i="23"/>
  <c r="F279" i="23"/>
  <c r="E279" i="23"/>
  <c r="D279" i="23"/>
  <c r="C279" i="23"/>
  <c r="B279" i="23"/>
  <c r="P292" i="23"/>
  <c r="N292" i="23"/>
  <c r="L292" i="23"/>
  <c r="J292" i="23"/>
  <c r="P291" i="23"/>
  <c r="N291" i="23"/>
  <c r="L291" i="23"/>
  <c r="J291" i="23"/>
  <c r="P288" i="23"/>
  <c r="N288" i="23"/>
  <c r="L288" i="23"/>
  <c r="J288" i="23"/>
  <c r="P287" i="23"/>
  <c r="N287" i="23"/>
  <c r="L287" i="23"/>
  <c r="J287" i="23"/>
  <c r="O273" i="23"/>
  <c r="O278" i="23" s="1"/>
  <c r="O272" i="23"/>
  <c r="O277" i="23" s="1"/>
  <c r="O271" i="23"/>
  <c r="M273" i="23"/>
  <c r="M278" i="23" s="1"/>
  <c r="M272" i="23"/>
  <c r="M277" i="23" s="1"/>
  <c r="M271" i="23"/>
  <c r="M276" i="23" s="1"/>
  <c r="K273" i="23"/>
  <c r="K278" i="23" s="1"/>
  <c r="K272" i="23"/>
  <c r="K277" i="23" s="1"/>
  <c r="K271" i="23"/>
  <c r="G263" i="23" a="1"/>
  <c r="G263" i="23" s="1"/>
  <c r="F270" i="23"/>
  <c r="E270" i="23"/>
  <c r="D270" i="23"/>
  <c r="C270" i="23"/>
  <c r="B270" i="23"/>
  <c r="O265" i="23"/>
  <c r="O269" i="23" s="1"/>
  <c r="O264" i="23"/>
  <c r="O268" i="23" s="1"/>
  <c r="M265" i="23"/>
  <c r="M269" i="23" s="1"/>
  <c r="M264" i="23"/>
  <c r="M268" i="23" s="1"/>
  <c r="K265" i="23"/>
  <c r="K269" i="23" s="1"/>
  <c r="K264" i="23"/>
  <c r="K268" i="23" s="1"/>
  <c r="H263" i="23" a="1"/>
  <c r="H263" i="23" s="1"/>
  <c r="F263" i="23"/>
  <c r="E263" i="23"/>
  <c r="D263" i="23"/>
  <c r="C263" i="23"/>
  <c r="B263" i="23"/>
  <c r="O258" i="23"/>
  <c r="O262" i="23" s="1"/>
  <c r="O257" i="23"/>
  <c r="O261" i="23" s="1"/>
  <c r="M258" i="23"/>
  <c r="M262" i="23" s="1"/>
  <c r="M257" i="23"/>
  <c r="M261" i="23" s="1"/>
  <c r="K258" i="23"/>
  <c r="K257" i="23"/>
  <c r="K261" i="23" s="1"/>
  <c r="H256" i="23" a="1"/>
  <c r="H256" i="23" s="1"/>
  <c r="G256" i="23" a="1"/>
  <c r="G256" i="23" s="1"/>
  <c r="F256" i="23"/>
  <c r="D256" i="23"/>
  <c r="B256" i="23"/>
  <c r="P285" i="23"/>
  <c r="N285" i="23"/>
  <c r="L285" i="23"/>
  <c r="J285" i="23"/>
  <c r="P284" i="23"/>
  <c r="N284" i="23"/>
  <c r="L284" i="23"/>
  <c r="J284" i="23"/>
  <c r="P281" i="23"/>
  <c r="N281" i="23"/>
  <c r="L281" i="23"/>
  <c r="J281" i="23"/>
  <c r="P280" i="23"/>
  <c r="N280" i="23"/>
  <c r="L280" i="23"/>
  <c r="J280" i="23"/>
  <c r="P278" i="23"/>
  <c r="N278" i="23"/>
  <c r="L278" i="23"/>
  <c r="J278" i="23"/>
  <c r="P277" i="23"/>
  <c r="N277" i="23"/>
  <c r="L277" i="23"/>
  <c r="J277" i="23"/>
  <c r="P276" i="23"/>
  <c r="N276" i="23"/>
  <c r="L276" i="23"/>
  <c r="J276" i="23"/>
  <c r="P273" i="23"/>
  <c r="N273" i="23"/>
  <c r="L273" i="23"/>
  <c r="J273" i="23"/>
  <c r="P272" i="23"/>
  <c r="N272" i="23"/>
  <c r="L272" i="23"/>
  <c r="J272" i="23"/>
  <c r="P271" i="23"/>
  <c r="N271" i="23"/>
  <c r="L271" i="23"/>
  <c r="J271" i="23"/>
  <c r="P269" i="23"/>
  <c r="N269" i="23"/>
  <c r="L269" i="23"/>
  <c r="J269" i="23"/>
  <c r="P268" i="23"/>
  <c r="N268" i="23"/>
  <c r="L268" i="23"/>
  <c r="J268" i="23"/>
  <c r="P265" i="23"/>
  <c r="N265" i="23"/>
  <c r="L265" i="23"/>
  <c r="J265" i="23"/>
  <c r="P264" i="23"/>
  <c r="N264" i="23"/>
  <c r="L264" i="23"/>
  <c r="J264" i="23"/>
  <c r="P262" i="23"/>
  <c r="N262" i="23"/>
  <c r="L262" i="23"/>
  <c r="J262" i="23"/>
  <c r="P261" i="23"/>
  <c r="N261" i="23"/>
  <c r="L261" i="23"/>
  <c r="J261" i="23"/>
  <c r="P258" i="23"/>
  <c r="N258" i="23"/>
  <c r="L258" i="23"/>
  <c r="J258" i="23"/>
  <c r="P257" i="23"/>
  <c r="N257" i="23"/>
  <c r="L257" i="23"/>
  <c r="J257" i="23"/>
  <c r="O251" i="23"/>
  <c r="O250" i="23"/>
  <c r="M251" i="23"/>
  <c r="M250" i="23"/>
  <c r="K251" i="23"/>
  <c r="K250" i="23"/>
  <c r="H249" i="23" a="1"/>
  <c r="H249" i="23" s="1"/>
  <c r="G249" i="23" a="1"/>
  <c r="G249" i="23" s="1"/>
  <c r="F249" i="23"/>
  <c r="D249" i="23"/>
  <c r="B249" i="23"/>
  <c r="O243" i="23"/>
  <c r="O242" i="23"/>
  <c r="O241" i="23"/>
  <c r="M243" i="23"/>
  <c r="M242" i="23"/>
  <c r="M241" i="23"/>
  <c r="K243" i="23"/>
  <c r="K242" i="23"/>
  <c r="K241" i="23"/>
  <c r="H240" i="23" a="1"/>
  <c r="H240" i="23" s="1"/>
  <c r="G240" i="23" a="1"/>
  <c r="G240" i="23" s="1"/>
  <c r="F240" i="23"/>
  <c r="D240" i="23"/>
  <c r="B240" i="23"/>
  <c r="O234" i="23"/>
  <c r="O233" i="23"/>
  <c r="O232" i="23"/>
  <c r="M234" i="23"/>
  <c r="M233" i="23"/>
  <c r="M232" i="23"/>
  <c r="K234" i="23"/>
  <c r="K233" i="23"/>
  <c r="K232" i="23"/>
  <c r="H231" i="23" a="1"/>
  <c r="H231" i="23" s="1"/>
  <c r="G231" i="23" a="1"/>
  <c r="G231" i="23" s="1"/>
  <c r="F231" i="23"/>
  <c r="D231" i="23"/>
  <c r="B231" i="23"/>
  <c r="O226" i="23"/>
  <c r="O225" i="23"/>
  <c r="M226" i="23"/>
  <c r="M225" i="23"/>
  <c r="K226" i="23"/>
  <c r="K225" i="23"/>
  <c r="H224" i="23" a="1"/>
  <c r="H224" i="23" s="1"/>
  <c r="G224" i="23" a="1"/>
  <c r="G224" i="23" s="1"/>
  <c r="F224" i="23"/>
  <c r="E224" i="23"/>
  <c r="D224" i="23"/>
  <c r="C224" i="23"/>
  <c r="B224" i="23"/>
  <c r="O219" i="23"/>
  <c r="O218" i="23"/>
  <c r="M219" i="23"/>
  <c r="M218" i="23"/>
  <c r="K219" i="23"/>
  <c r="K218" i="23"/>
  <c r="H217" i="23" a="1"/>
  <c r="H217" i="23" s="1"/>
  <c r="G217" i="23" a="1"/>
  <c r="G217" i="23" s="1"/>
  <c r="F217" i="23"/>
  <c r="E217" i="23"/>
  <c r="D217" i="23"/>
  <c r="C217" i="23"/>
  <c r="B217" i="23"/>
  <c r="O213" i="23"/>
  <c r="M213" i="23"/>
  <c r="K213" i="23"/>
  <c r="H212" i="23" a="1"/>
  <c r="H212" i="23" s="1"/>
  <c r="G212" i="23" a="1"/>
  <c r="G212" i="23" s="1"/>
  <c r="F212" i="23"/>
  <c r="E212" i="23"/>
  <c r="D212" i="23"/>
  <c r="C212" i="23"/>
  <c r="B212" i="23"/>
  <c r="O208" i="23"/>
  <c r="M208" i="23"/>
  <c r="K208" i="23"/>
  <c r="H207" i="23" a="1"/>
  <c r="H207" i="23" s="1"/>
  <c r="G207" i="23" a="1"/>
  <c r="G207" i="23" s="1"/>
  <c r="F207" i="23"/>
  <c r="E207" i="23"/>
  <c r="D207" i="23"/>
  <c r="C207" i="23"/>
  <c r="B207" i="23"/>
  <c r="O203" i="23"/>
  <c r="M203" i="23"/>
  <c r="K203" i="23"/>
  <c r="H202" i="23" a="1"/>
  <c r="H202" i="23" s="1"/>
  <c r="G202" i="23" a="1"/>
  <c r="G202" i="23" s="1"/>
  <c r="F202" i="23"/>
  <c r="E202" i="23"/>
  <c r="D202" i="23"/>
  <c r="C202" i="23"/>
  <c r="B202" i="23"/>
  <c r="O197" i="23"/>
  <c r="O196" i="23"/>
  <c r="M197" i="23"/>
  <c r="M196" i="23"/>
  <c r="K197" i="23"/>
  <c r="K196" i="23"/>
  <c r="M190" i="23"/>
  <c r="M189" i="23"/>
  <c r="K194" i="23"/>
  <c r="K193" i="23"/>
  <c r="H195" i="23" a="1"/>
  <c r="H195" i="23" s="1"/>
  <c r="G195" i="23" a="1"/>
  <c r="G195" i="23" s="1"/>
  <c r="F195" i="23"/>
  <c r="E195" i="23"/>
  <c r="D195" i="23"/>
  <c r="C195" i="23"/>
  <c r="B195" i="23"/>
  <c r="O190" i="23"/>
  <c r="O189" i="23"/>
  <c r="K190" i="23"/>
  <c r="K189" i="23"/>
  <c r="H188" i="23" a="1"/>
  <c r="H188" i="23" s="1"/>
  <c r="G188" i="23" a="1"/>
  <c r="G188" i="23" s="1"/>
  <c r="F188" i="23"/>
  <c r="E188" i="23"/>
  <c r="D188" i="23"/>
  <c r="C188" i="23"/>
  <c r="B188" i="23"/>
  <c r="B181" i="23"/>
  <c r="O183" i="23"/>
  <c r="O182" i="23"/>
  <c r="M183" i="23"/>
  <c r="M182" i="23"/>
  <c r="K183" i="23"/>
  <c r="K182" i="23"/>
  <c r="H181" i="23" a="1"/>
  <c r="H181" i="23" s="1"/>
  <c r="H176" i="23" a="1"/>
  <c r="H176" i="23" s="1"/>
  <c r="G181" i="23" a="1"/>
  <c r="G181" i="23" s="1"/>
  <c r="D181" i="23"/>
  <c r="F181" i="23"/>
  <c r="O177" i="23"/>
  <c r="M177" i="23"/>
  <c r="K177" i="23"/>
  <c r="G176" i="23" a="1"/>
  <c r="G176" i="23" s="1"/>
  <c r="F176" i="23"/>
  <c r="D176" i="23"/>
  <c r="B176" i="23"/>
  <c r="O171" i="23"/>
  <c r="O170" i="23"/>
  <c r="M171" i="23"/>
  <c r="M170" i="23"/>
  <c r="K171" i="23"/>
  <c r="K170" i="23"/>
  <c r="H169" i="23" a="1"/>
  <c r="H169" i="23" s="1"/>
  <c r="G169" i="23" a="1"/>
  <c r="G169" i="23" s="1"/>
  <c r="F169" i="23"/>
  <c r="E169" i="23"/>
  <c r="D169" i="23"/>
  <c r="C169" i="23"/>
  <c r="B169" i="23"/>
  <c r="O164" i="23"/>
  <c r="O163" i="23"/>
  <c r="M164" i="23"/>
  <c r="M163" i="23"/>
  <c r="K164" i="23"/>
  <c r="K163" i="23"/>
  <c r="H162" i="23" a="1"/>
  <c r="H162" i="23" s="1"/>
  <c r="G162" i="23" a="1"/>
  <c r="G162" i="23" s="1"/>
  <c r="F162" i="23"/>
  <c r="E162" i="23"/>
  <c r="D162" i="23"/>
  <c r="C162" i="23"/>
  <c r="B162" i="23"/>
  <c r="O157" i="23"/>
  <c r="O156" i="23"/>
  <c r="M157" i="23"/>
  <c r="M156" i="23"/>
  <c r="K157" i="23"/>
  <c r="K156" i="23"/>
  <c r="H155" i="23" a="1"/>
  <c r="H155" i="23" s="1"/>
  <c r="G155" i="23" a="1"/>
  <c r="G155" i="23" s="1"/>
  <c r="F155" i="23"/>
  <c r="E155" i="23"/>
  <c r="D155" i="23"/>
  <c r="C155" i="23"/>
  <c r="B155" i="23"/>
  <c r="B148" i="23"/>
  <c r="O150" i="23"/>
  <c r="O149" i="23"/>
  <c r="M150" i="23"/>
  <c r="M149" i="23"/>
  <c r="K150" i="23"/>
  <c r="K149" i="23"/>
  <c r="H148" i="23" a="1"/>
  <c r="H148" i="23" s="1"/>
  <c r="G148" i="23" a="1"/>
  <c r="G148" i="23" s="1"/>
  <c r="F148" i="23"/>
  <c r="E148" i="23"/>
  <c r="D148" i="23"/>
  <c r="C148" i="23"/>
  <c r="O143" i="23"/>
  <c r="O142" i="23"/>
  <c r="M143" i="23"/>
  <c r="M142" i="23"/>
  <c r="K143" i="23"/>
  <c r="K142" i="23"/>
  <c r="H141" i="23" a="1"/>
  <c r="H141" i="23" s="1"/>
  <c r="G141" i="23" a="1"/>
  <c r="G141" i="23" s="1"/>
  <c r="F141" i="23"/>
  <c r="E141" i="23"/>
  <c r="D141" i="23"/>
  <c r="C141" i="23"/>
  <c r="B141" i="23"/>
  <c r="O104" i="23"/>
  <c r="O103" i="23"/>
  <c r="O97" i="23"/>
  <c r="O96" i="23"/>
  <c r="M104" i="23"/>
  <c r="M103" i="23"/>
  <c r="K104" i="23"/>
  <c r="K103" i="23"/>
  <c r="H102" i="23" a="1"/>
  <c r="H102" i="23" s="1"/>
  <c r="G102" i="23" a="1"/>
  <c r="G102" i="23" s="1"/>
  <c r="F102" i="23"/>
  <c r="D102" i="23"/>
  <c r="E102" i="23"/>
  <c r="C102" i="23"/>
  <c r="B102" i="23"/>
  <c r="M97" i="23"/>
  <c r="M96" i="23"/>
  <c r="K97" i="23"/>
  <c r="K96" i="23"/>
  <c r="H95" i="23" a="1"/>
  <c r="H95" i="23" s="1"/>
  <c r="H90" i="23" a="1"/>
  <c r="H90" i="23" s="1"/>
  <c r="G95" i="23" a="1"/>
  <c r="G95" i="23" s="1"/>
  <c r="F95" i="23"/>
  <c r="E95" i="23"/>
  <c r="D95" i="23"/>
  <c r="C95" i="23"/>
  <c r="B95" i="23"/>
  <c r="O91" i="23"/>
  <c r="M91" i="23"/>
  <c r="K91" i="23"/>
  <c r="G90" i="23" a="1"/>
  <c r="G90" i="23" s="1"/>
  <c r="F90" i="23"/>
  <c r="F81" i="23"/>
  <c r="D90" i="23"/>
  <c r="B90" i="23"/>
  <c r="O84" i="23"/>
  <c r="O83" i="23"/>
  <c r="O82" i="23"/>
  <c r="M84" i="23"/>
  <c r="M83" i="23"/>
  <c r="M82" i="23"/>
  <c r="K84" i="23"/>
  <c r="K83" i="23"/>
  <c r="K82" i="23"/>
  <c r="H81" i="23" a="1"/>
  <c r="H81" i="23" s="1"/>
  <c r="G81" i="23" a="1"/>
  <c r="G81" i="23" s="1"/>
  <c r="D81" i="23"/>
  <c r="H72" i="23" a="1"/>
  <c r="H72" i="23" s="1"/>
  <c r="G72" i="23" a="1"/>
  <c r="G72" i="23" s="1"/>
  <c r="F72" i="23"/>
  <c r="B81" i="23"/>
  <c r="B72" i="23"/>
  <c r="O75" i="23"/>
  <c r="O74" i="23"/>
  <c r="O73" i="23"/>
  <c r="M75" i="23"/>
  <c r="M74" i="23"/>
  <c r="M73" i="23"/>
  <c r="K75" i="23"/>
  <c r="K74" i="23"/>
  <c r="K73" i="23"/>
  <c r="H67" i="23" a="1"/>
  <c r="H67" i="23" s="1"/>
  <c r="G67" i="23" a="1"/>
  <c r="G67" i="23" s="1"/>
  <c r="F67" i="23"/>
  <c r="E67" i="23"/>
  <c r="D72" i="23"/>
  <c r="D67" i="23"/>
  <c r="C67" i="23"/>
  <c r="B67" i="23"/>
  <c r="R49" i="27"/>
  <c r="R48" i="27"/>
  <c r="T55" i="27"/>
  <c r="T46" i="27"/>
  <c r="T43" i="27"/>
  <c r="T34" i="27"/>
  <c r="T26" i="27"/>
  <c r="T16" i="28"/>
  <c r="T10" i="28"/>
  <c r="R34" i="27"/>
  <c r="R28" i="27"/>
  <c r="R35" i="27"/>
  <c r="O256" i="23" l="1"/>
  <c r="I271" i="23"/>
  <c r="O270" i="23"/>
  <c r="I280" i="23"/>
  <c r="O276" i="23"/>
  <c r="O275" i="23" s="1"/>
  <c r="K284" i="23"/>
  <c r="K283" i="23" s="1"/>
  <c r="K286" i="23"/>
  <c r="I288" i="23"/>
  <c r="M263" i="23"/>
  <c r="I265" i="23"/>
  <c r="O286" i="23"/>
  <c r="K279" i="23"/>
  <c r="I273" i="23"/>
  <c r="I258" i="23"/>
  <c r="K262" i="23"/>
  <c r="K260" i="23" s="1"/>
  <c r="M279" i="23"/>
  <c r="I287" i="23"/>
  <c r="M275" i="23"/>
  <c r="O279" i="23"/>
  <c r="M286" i="23"/>
  <c r="I257" i="23"/>
  <c r="I264" i="23"/>
  <c r="I281" i="23"/>
  <c r="O283" i="23"/>
  <c r="O263" i="23"/>
  <c r="I272" i="23"/>
  <c r="O291" i="23"/>
  <c r="O290" i="23" s="1"/>
  <c r="K270" i="23"/>
  <c r="M285" i="23"/>
  <c r="I285" i="23" s="1"/>
  <c r="K256" i="23"/>
  <c r="O260" i="23"/>
  <c r="M291" i="23"/>
  <c r="M270" i="23"/>
  <c r="M292" i="23"/>
  <c r="I292" i="23" s="1"/>
  <c r="K276" i="23"/>
  <c r="K275" i="23" s="1"/>
  <c r="M256" i="23"/>
  <c r="K263" i="23"/>
  <c r="M267" i="23"/>
  <c r="I171" i="23"/>
  <c r="M260" i="23"/>
  <c r="I277" i="23"/>
  <c r="I261" i="23"/>
  <c r="O267" i="23"/>
  <c r="I269" i="23"/>
  <c r="I268" i="23"/>
  <c r="I278" i="23"/>
  <c r="K290" i="23"/>
  <c r="K267" i="23"/>
  <c r="S49" i="27"/>
  <c r="R22" i="27"/>
  <c r="R46" i="27"/>
  <c r="R45" i="27"/>
  <c r="R44" i="27"/>
  <c r="R43" i="27"/>
  <c r="R42" i="27"/>
  <c r="R41" i="27"/>
  <c r="R40" i="27"/>
  <c r="R39" i="27"/>
  <c r="R38" i="27"/>
  <c r="R37" i="27"/>
  <c r="R36" i="27"/>
  <c r="R33" i="27"/>
  <c r="R32" i="27"/>
  <c r="R31" i="27"/>
  <c r="R30" i="27"/>
  <c r="R29" i="27"/>
  <c r="R27" i="27"/>
  <c r="R26" i="27"/>
  <c r="R25" i="27"/>
  <c r="R24" i="27"/>
  <c r="R23" i="27"/>
  <c r="R21" i="27"/>
  <c r="T20" i="27"/>
  <c r="R19" i="27"/>
  <c r="R20" i="27"/>
  <c r="R18" i="27"/>
  <c r="R17" i="27"/>
  <c r="R16" i="27"/>
  <c r="T15" i="27"/>
  <c r="R15" i="27"/>
  <c r="R14" i="27"/>
  <c r="R13" i="27"/>
  <c r="R12" i="27"/>
  <c r="R11" i="27"/>
  <c r="T10" i="27"/>
  <c r="R6" i="27"/>
  <c r="R7" i="27"/>
  <c r="R10" i="27"/>
  <c r="R9" i="27"/>
  <c r="R8" i="27"/>
  <c r="M283" i="23" l="1"/>
  <c r="I279" i="23"/>
  <c r="I286" i="23"/>
  <c r="I284" i="23"/>
  <c r="I263" i="23"/>
  <c r="M290" i="23"/>
  <c r="I276" i="23"/>
  <c r="I275" i="23" s="1"/>
  <c r="I262" i="23"/>
  <c r="I270" i="23"/>
  <c r="I267" i="23"/>
  <c r="I256" i="23"/>
  <c r="I291" i="23"/>
  <c r="I290" i="23" s="1"/>
  <c r="S43" i="27"/>
  <c r="T42" i="27" s="1"/>
  <c r="S46" i="27"/>
  <c r="T45" i="27" s="1"/>
  <c r="S26" i="27"/>
  <c r="T25" i="27" s="1"/>
  <c r="S34" i="27"/>
  <c r="T33" i="27" s="1"/>
  <c r="S39" i="27"/>
  <c r="S10" i="27"/>
  <c r="T9" i="27" s="1"/>
  <c r="S15" i="27"/>
  <c r="T14" i="27" s="1"/>
  <c r="S20" i="27"/>
  <c r="T19" i="27" s="1"/>
  <c r="I260" i="23" l="1"/>
  <c r="I283" i="23"/>
  <c r="R10" i="28"/>
  <c r="R9" i="28"/>
  <c r="L8" i="28"/>
  <c r="R8" i="28" s="1"/>
  <c r="R7" i="28"/>
  <c r="R6" i="28"/>
  <c r="L13" i="28"/>
  <c r="S10" i="28" l="1"/>
  <c r="R11" i="28"/>
  <c r="R17" i="28" l="1"/>
  <c r="L48" i="27"/>
  <c r="L49" i="27"/>
  <c r="AH58" i="10"/>
  <c r="AK58" i="10" s="1"/>
  <c r="AN58" i="10" s="1"/>
  <c r="R47" i="27"/>
  <c r="T49" i="27" l="1"/>
  <c r="T48" i="27" s="1"/>
  <c r="AH57" i="10"/>
  <c r="AK57" i="10" s="1"/>
  <c r="AN57" i="10" s="1"/>
  <c r="AH38" i="10"/>
  <c r="AK38" i="10" s="1"/>
  <c r="AN38" i="10" s="1"/>
  <c r="R16" i="28"/>
  <c r="R15" i="28"/>
  <c r="R14" i="28"/>
  <c r="R13" i="28"/>
  <c r="R12" i="28"/>
  <c r="R18" i="28" l="1"/>
  <c r="S16" i="28"/>
  <c r="T15" i="28" s="1"/>
  <c r="M153" i="23" l="1"/>
  <c r="AA165" i="10"/>
  <c r="AA166" i="10" s="1"/>
  <c r="T50" i="10"/>
  <c r="R72" i="10"/>
  <c r="S72" i="10"/>
  <c r="T72" i="10"/>
  <c r="U72" i="10"/>
  <c r="V72" i="10"/>
  <c r="W72" i="10"/>
  <c r="R73" i="10"/>
  <c r="S73" i="10"/>
  <c r="T73" i="10"/>
  <c r="U73" i="10"/>
  <c r="V73" i="10"/>
  <c r="W73" i="10"/>
  <c r="R68" i="10"/>
  <c r="S68" i="10"/>
  <c r="T68" i="10"/>
  <c r="U68" i="10"/>
  <c r="V68" i="10"/>
  <c r="W68" i="10"/>
  <c r="R69" i="10"/>
  <c r="S69" i="10"/>
  <c r="T69" i="10"/>
  <c r="U69" i="10"/>
  <c r="V69" i="10"/>
  <c r="W69" i="10"/>
  <c r="R70" i="10"/>
  <c r="S70" i="10"/>
  <c r="T70" i="10"/>
  <c r="U70" i="10"/>
  <c r="V70" i="10"/>
  <c r="W70" i="10"/>
  <c r="R71" i="10"/>
  <c r="S71" i="10"/>
  <c r="T71" i="10"/>
  <c r="U71" i="10"/>
  <c r="V71" i="10"/>
  <c r="W71" i="10"/>
  <c r="I19" i="10"/>
  <c r="I13" i="22" s="1"/>
  <c r="L114" i="27"/>
  <c r="L111" i="27"/>
  <c r="L110" i="27"/>
  <c r="L108" i="27"/>
  <c r="L109" i="27"/>
  <c r="L115" i="27"/>
  <c r="L116" i="27"/>
  <c r="L117" i="27"/>
  <c r="L118" i="27"/>
  <c r="L113" i="27"/>
  <c r="L112" i="27"/>
  <c r="L120" i="27"/>
  <c r="L119" i="27"/>
  <c r="L57" i="28"/>
  <c r="W54" i="10"/>
  <c r="V54" i="10"/>
  <c r="U54" i="10"/>
  <c r="T54" i="10"/>
  <c r="S54" i="10"/>
  <c r="R54" i="10"/>
  <c r="W55" i="10"/>
  <c r="V55" i="10"/>
  <c r="U55" i="10"/>
  <c r="T55" i="10"/>
  <c r="E7" i="10" s="1"/>
  <c r="S55" i="10"/>
  <c r="D7" i="10" s="1"/>
  <c r="R55" i="10"/>
  <c r="C7" i="10" s="1"/>
  <c r="AO65" i="24"/>
  <c r="L60" i="28"/>
  <c r="L71" i="28"/>
  <c r="L100" i="27"/>
  <c r="L103" i="27"/>
  <c r="L97" i="27"/>
  <c r="L96" i="27"/>
  <c r="L95" i="27"/>
  <c r="L90" i="27"/>
  <c r="L93" i="27"/>
  <c r="L92" i="27"/>
  <c r="L94" i="27"/>
  <c r="L91" i="27"/>
  <c r="L89" i="27"/>
  <c r="L107" i="27"/>
  <c r="L106" i="27"/>
  <c r="L105" i="27"/>
  <c r="L104" i="27"/>
  <c r="L102" i="27"/>
  <c r="L101" i="27"/>
  <c r="L99" i="27"/>
  <c r="L98" i="27"/>
  <c r="L70" i="28"/>
  <c r="L69" i="28"/>
  <c r="L68" i="28"/>
  <c r="L62" i="28"/>
  <c r="L67" i="28"/>
  <c r="L66" i="28"/>
  <c r="L65" i="28"/>
  <c r="L64" i="28"/>
  <c r="L63" i="28"/>
  <c r="L61" i="28"/>
  <c r="L59" i="28"/>
  <c r="L58" i="28"/>
  <c r="G71" i="26"/>
  <c r="H86" i="26"/>
  <c r="H71" i="26" s="1"/>
  <c r="D71" i="26"/>
  <c r="E86" i="26"/>
  <c r="E71" i="26" s="1"/>
  <c r="R51" i="27"/>
  <c r="R53" i="27"/>
  <c r="R55" i="27"/>
  <c r="R54" i="27"/>
  <c r="R52" i="27"/>
  <c r="R50" i="27"/>
  <c r="Q64" i="10"/>
  <c r="Z41" i="10"/>
  <c r="K121" i="23" s="1"/>
  <c r="K126" i="23" s="1"/>
  <c r="D141" i="26"/>
  <c r="F141" i="26"/>
  <c r="G141" i="26"/>
  <c r="H141" i="26"/>
  <c r="C141" i="26"/>
  <c r="D124" i="26"/>
  <c r="E124" i="26"/>
  <c r="F124" i="26"/>
  <c r="G124" i="26"/>
  <c r="H124" i="26"/>
  <c r="C124" i="26"/>
  <c r="E127" i="26"/>
  <c r="E131" i="26"/>
  <c r="S52" i="10"/>
  <c r="AB171" i="10"/>
  <c r="AB172" i="10" s="1"/>
  <c r="R63" i="10"/>
  <c r="S63" i="10"/>
  <c r="T63" i="10"/>
  <c r="R61" i="10"/>
  <c r="S61" i="10"/>
  <c r="T61" i="10"/>
  <c r="T62" i="10"/>
  <c r="S62" i="10"/>
  <c r="R62" i="10"/>
  <c r="AG56" i="10"/>
  <c r="U56" i="10" s="1"/>
  <c r="AD130" i="10"/>
  <c r="AD131" i="10" s="1"/>
  <c r="AE130" i="10"/>
  <c r="AE131" i="10" s="1"/>
  <c r="AF130" i="10"/>
  <c r="AF131" i="10" s="1"/>
  <c r="AD127" i="10"/>
  <c r="AD128" i="10" s="1"/>
  <c r="AE127" i="10"/>
  <c r="AE128" i="10" s="1"/>
  <c r="AF127" i="10"/>
  <c r="AF128" i="10" s="1"/>
  <c r="AD124" i="10"/>
  <c r="AD125" i="10" s="1"/>
  <c r="AE124" i="10"/>
  <c r="AE125" i="10" s="1"/>
  <c r="AF124" i="10"/>
  <c r="AF125" i="10" s="1"/>
  <c r="AD121" i="10"/>
  <c r="AD122" i="10" s="1"/>
  <c r="AE121" i="10"/>
  <c r="AE122" i="10" s="1"/>
  <c r="AF121" i="10"/>
  <c r="AF122" i="10" s="1"/>
  <c r="AA130" i="10"/>
  <c r="AA131" i="10" s="1"/>
  <c r="AB130" i="10"/>
  <c r="AB131" i="10" s="1"/>
  <c r="AC130" i="10"/>
  <c r="AC131" i="10" s="1"/>
  <c r="AA127" i="10"/>
  <c r="AA128" i="10" s="1"/>
  <c r="AC127" i="10"/>
  <c r="AC128" i="10" s="1"/>
  <c r="AA124" i="10"/>
  <c r="AA125" i="10" s="1"/>
  <c r="AB124" i="10"/>
  <c r="AB125" i="10" s="1"/>
  <c r="AC124" i="10"/>
  <c r="AA121" i="10"/>
  <c r="AA122" i="10" s="1"/>
  <c r="AB121" i="10"/>
  <c r="AB122" i="10" s="1"/>
  <c r="AC121" i="10"/>
  <c r="AC122" i="10" s="1"/>
  <c r="X130" i="10"/>
  <c r="X131" i="10" s="1"/>
  <c r="Y130" i="10"/>
  <c r="Y131" i="10" s="1"/>
  <c r="Z130" i="10"/>
  <c r="Z131" i="10" s="1"/>
  <c r="X127" i="10"/>
  <c r="X128" i="10" s="1"/>
  <c r="Y127" i="10"/>
  <c r="Y128" i="10" s="1"/>
  <c r="Z127" i="10"/>
  <c r="Z128" i="10" s="1"/>
  <c r="X124" i="10"/>
  <c r="X125" i="10" s="1"/>
  <c r="Y124" i="10"/>
  <c r="Y125" i="10" s="1"/>
  <c r="Z124" i="10"/>
  <c r="Z125" i="10" s="1"/>
  <c r="X121" i="10"/>
  <c r="X122" i="10" s="1"/>
  <c r="Y121" i="10"/>
  <c r="Y122" i="10" s="1"/>
  <c r="Z121" i="10"/>
  <c r="Z122" i="10" s="1"/>
  <c r="AD174" i="10"/>
  <c r="AD175" i="10" s="1"/>
  <c r="AE174" i="10"/>
  <c r="AE175" i="10" s="1"/>
  <c r="AF174" i="10"/>
  <c r="AF175" i="10" s="1"/>
  <c r="AD171" i="10"/>
  <c r="AD172" i="10" s="1"/>
  <c r="AE171" i="10"/>
  <c r="AE172" i="10" s="1"/>
  <c r="AF171" i="10"/>
  <c r="AF172" i="10" s="1"/>
  <c r="AD168" i="10"/>
  <c r="AD169" i="10" s="1"/>
  <c r="AE168" i="10"/>
  <c r="AE169" i="10" s="1"/>
  <c r="AF168" i="10"/>
  <c r="AF169" i="10" s="1"/>
  <c r="AD165" i="10"/>
  <c r="AD166" i="10" s="1"/>
  <c r="AF165" i="10"/>
  <c r="AF166" i="10" s="1"/>
  <c r="AA174" i="10"/>
  <c r="AA175" i="10" s="1"/>
  <c r="AB174" i="10"/>
  <c r="AB175" i="10" s="1"/>
  <c r="AC174" i="10"/>
  <c r="AC175" i="10" s="1"/>
  <c r="AA171" i="10"/>
  <c r="AA172" i="10" s="1"/>
  <c r="AC171" i="10"/>
  <c r="AC172" i="10" s="1"/>
  <c r="AA168" i="10"/>
  <c r="AA169" i="10" s="1"/>
  <c r="AB168" i="10"/>
  <c r="AB169" i="10" s="1"/>
  <c r="AC168" i="10"/>
  <c r="AC169" i="10" s="1"/>
  <c r="AC165" i="10"/>
  <c r="AC166" i="10" s="1"/>
  <c r="X174" i="10"/>
  <c r="X175" i="10" s="1"/>
  <c r="Y174" i="10"/>
  <c r="Y175" i="10" s="1"/>
  <c r="Z174" i="10"/>
  <c r="Z175" i="10" s="1"/>
  <c r="X171" i="10"/>
  <c r="X172" i="10" s="1"/>
  <c r="Y171" i="10"/>
  <c r="Y172" i="10" s="1"/>
  <c r="Z171" i="10"/>
  <c r="Z172" i="10" s="1"/>
  <c r="X168" i="10"/>
  <c r="X169" i="10" s="1"/>
  <c r="Y168" i="10"/>
  <c r="Y169" i="10" s="1"/>
  <c r="Z168" i="10"/>
  <c r="Z169" i="10" s="1"/>
  <c r="X165" i="10"/>
  <c r="X166" i="10" s="1"/>
  <c r="Y165" i="10"/>
  <c r="Y166" i="10" s="1"/>
  <c r="Z165" i="10"/>
  <c r="Z166" i="10" s="1"/>
  <c r="Y204" i="10"/>
  <c r="Y205" i="10" s="1"/>
  <c r="Z204" i="10"/>
  <c r="Z205" i="10" s="1"/>
  <c r="AA204" i="10"/>
  <c r="AA205" i="10" s="1"/>
  <c r="AB204" i="10"/>
  <c r="AB205" i="10" s="1"/>
  <c r="AC204" i="10"/>
  <c r="AC205" i="10" s="1"/>
  <c r="AD204" i="10"/>
  <c r="AD205" i="10" s="1"/>
  <c r="AE204" i="10"/>
  <c r="AE205" i="10" s="1"/>
  <c r="AF204" i="10"/>
  <c r="AF205" i="10" s="1"/>
  <c r="Y160" i="10"/>
  <c r="Y161" i="10" s="1"/>
  <c r="Z160" i="10"/>
  <c r="Z161" i="10" s="1"/>
  <c r="AA160" i="10"/>
  <c r="AA161" i="10" s="1"/>
  <c r="AB160" i="10"/>
  <c r="AB161" i="10" s="1"/>
  <c r="AC160" i="10"/>
  <c r="AC161" i="10" s="1"/>
  <c r="AD160" i="10"/>
  <c r="AD161" i="10" s="1"/>
  <c r="AE160" i="10"/>
  <c r="AE161" i="10" s="1"/>
  <c r="AF160" i="10"/>
  <c r="AF161" i="10" s="1"/>
  <c r="X160" i="10"/>
  <c r="X161" i="10" s="1"/>
  <c r="X204" i="10"/>
  <c r="X205" i="10" s="1"/>
  <c r="Y157" i="10"/>
  <c r="Y158" i="10" s="1"/>
  <c r="Z157" i="10"/>
  <c r="Z158" i="10" s="1"/>
  <c r="AA157" i="10"/>
  <c r="AA158" i="10" s="1"/>
  <c r="AB157" i="10"/>
  <c r="AB158" i="10" s="1"/>
  <c r="AC157" i="10"/>
  <c r="AC158" i="10" s="1"/>
  <c r="AD157" i="10"/>
  <c r="AD158" i="10" s="1"/>
  <c r="AE157" i="10"/>
  <c r="AE158" i="10" s="1"/>
  <c r="AF157" i="10"/>
  <c r="AF158" i="10" s="1"/>
  <c r="Y201" i="10"/>
  <c r="Y202" i="10" s="1"/>
  <c r="Z201" i="10"/>
  <c r="Z202" i="10" s="1"/>
  <c r="AA201" i="10"/>
  <c r="AA202" i="10" s="1"/>
  <c r="AB201" i="10"/>
  <c r="AB202" i="10" s="1"/>
  <c r="AC201" i="10"/>
  <c r="AC202" i="10" s="1"/>
  <c r="AD201" i="10"/>
  <c r="AD202" i="10" s="1"/>
  <c r="AE201" i="10"/>
  <c r="AE202" i="10" s="1"/>
  <c r="AF201" i="10"/>
  <c r="AF202" i="10" s="1"/>
  <c r="X157" i="10"/>
  <c r="X158" i="10" s="1"/>
  <c r="X201" i="10"/>
  <c r="X202" i="10" s="1"/>
  <c r="Y154" i="10"/>
  <c r="Y155" i="10" s="1"/>
  <c r="Z154" i="10"/>
  <c r="Z155" i="10" s="1"/>
  <c r="AA154" i="10"/>
  <c r="AA155" i="10" s="1"/>
  <c r="AB154" i="10"/>
  <c r="AB155" i="10" s="1"/>
  <c r="AC154" i="10"/>
  <c r="AC155" i="10" s="1"/>
  <c r="AD154" i="10"/>
  <c r="AD155" i="10" s="1"/>
  <c r="AE154" i="10"/>
  <c r="AE155" i="10" s="1"/>
  <c r="AF154" i="10"/>
  <c r="AF155" i="10" s="1"/>
  <c r="Y198" i="10"/>
  <c r="Y199" i="10" s="1"/>
  <c r="Z198" i="10"/>
  <c r="Z199" i="10" s="1"/>
  <c r="AA198" i="10"/>
  <c r="AA199" i="10" s="1"/>
  <c r="AB198" i="10"/>
  <c r="AB199" i="10" s="1"/>
  <c r="AC198" i="10"/>
  <c r="AC199" i="10" s="1"/>
  <c r="AD198" i="10"/>
  <c r="AD199" i="10" s="1"/>
  <c r="AE198" i="10"/>
  <c r="AE199" i="10" s="1"/>
  <c r="AF198" i="10"/>
  <c r="AF199" i="10" s="1"/>
  <c r="X154" i="10"/>
  <c r="X155" i="10" s="1"/>
  <c r="Y151" i="10"/>
  <c r="Y152" i="10" s="1"/>
  <c r="Z151" i="10"/>
  <c r="Z152" i="10" s="1"/>
  <c r="AA151" i="10"/>
  <c r="AA152" i="10" s="1"/>
  <c r="AB151" i="10"/>
  <c r="AB152" i="10" s="1"/>
  <c r="AC151" i="10"/>
  <c r="AC152" i="10" s="1"/>
  <c r="AD151" i="10"/>
  <c r="AD152" i="10" s="1"/>
  <c r="AE151" i="10"/>
  <c r="AE152" i="10" s="1"/>
  <c r="AF151" i="10"/>
  <c r="AF152" i="10" s="1"/>
  <c r="X198" i="10"/>
  <c r="X199" i="10" s="1"/>
  <c r="Y195" i="10"/>
  <c r="Y196" i="10" s="1"/>
  <c r="Z195" i="10"/>
  <c r="Z196" i="10" s="1"/>
  <c r="AA195" i="10"/>
  <c r="AA196" i="10" s="1"/>
  <c r="AB195" i="10"/>
  <c r="AB196" i="10" s="1"/>
  <c r="AC195" i="10"/>
  <c r="AC196" i="10" s="1"/>
  <c r="AD195" i="10"/>
  <c r="AD196" i="10" s="1"/>
  <c r="AE195" i="10"/>
  <c r="AE196" i="10" s="1"/>
  <c r="AF195" i="10"/>
  <c r="AF196" i="10" s="1"/>
  <c r="X151" i="10"/>
  <c r="X152" i="10" s="1"/>
  <c r="X195" i="10"/>
  <c r="X196" i="10" s="1"/>
  <c r="Y189" i="10"/>
  <c r="Y190" i="10" s="1"/>
  <c r="Z189" i="10"/>
  <c r="Z190" i="10" s="1"/>
  <c r="AA189" i="10"/>
  <c r="AA190" i="10" s="1"/>
  <c r="AB189" i="10"/>
  <c r="AB190" i="10" s="1"/>
  <c r="AC189" i="10"/>
  <c r="AC190" i="10" s="1"/>
  <c r="AD189" i="10"/>
  <c r="AD190" i="10" s="1"/>
  <c r="AE189" i="10"/>
  <c r="AE190" i="10" s="1"/>
  <c r="AF189" i="10"/>
  <c r="AF190" i="10" s="1"/>
  <c r="Y145" i="10"/>
  <c r="Y146" i="10" s="1"/>
  <c r="AA145" i="10"/>
  <c r="AA146" i="10" s="1"/>
  <c r="AB145" i="10"/>
  <c r="AB146" i="10" s="1"/>
  <c r="AC145" i="10"/>
  <c r="AC146" i="10" s="1"/>
  <c r="AD145" i="10"/>
  <c r="AD146" i="10" s="1"/>
  <c r="AE145" i="10"/>
  <c r="AE146" i="10" s="1"/>
  <c r="AF145" i="10"/>
  <c r="AF146" i="10" s="1"/>
  <c r="X145" i="10"/>
  <c r="X146" i="10" s="1"/>
  <c r="Y142" i="10"/>
  <c r="Y143" i="10" s="1"/>
  <c r="Z142" i="10"/>
  <c r="Z143" i="10" s="1"/>
  <c r="AA142" i="10"/>
  <c r="AA143" i="10" s="1"/>
  <c r="AB142" i="10"/>
  <c r="AB143" i="10" s="1"/>
  <c r="AC142" i="10"/>
  <c r="AC143" i="10" s="1"/>
  <c r="AD142" i="10"/>
  <c r="AD143" i="10" s="1"/>
  <c r="AE142" i="10"/>
  <c r="AE143" i="10" s="1"/>
  <c r="AF142" i="10"/>
  <c r="AF143" i="10" s="1"/>
  <c r="X142" i="10"/>
  <c r="X143" i="10" s="1"/>
  <c r="X189" i="10"/>
  <c r="X190" i="10" s="1"/>
  <c r="Y186" i="10"/>
  <c r="Y187" i="10" s="1"/>
  <c r="Z186" i="10"/>
  <c r="Z187" i="10" s="1"/>
  <c r="AA186" i="10"/>
  <c r="AA187" i="10" s="1"/>
  <c r="AB186" i="10"/>
  <c r="AB187" i="10" s="1"/>
  <c r="AC186" i="10"/>
  <c r="AC187" i="10" s="1"/>
  <c r="AD186" i="10"/>
  <c r="AD187" i="10" s="1"/>
  <c r="AE186" i="10"/>
  <c r="AE187" i="10" s="1"/>
  <c r="AF186" i="10"/>
  <c r="AF187" i="10" s="1"/>
  <c r="Y139" i="10"/>
  <c r="Y140" i="10" s="1"/>
  <c r="Z139" i="10"/>
  <c r="Z140" i="10" s="1"/>
  <c r="AA139" i="10"/>
  <c r="AA140" i="10" s="1"/>
  <c r="AB139" i="10"/>
  <c r="AB140" i="10" s="1"/>
  <c r="AC139" i="10"/>
  <c r="AC140" i="10" s="1"/>
  <c r="AD139" i="10"/>
  <c r="AD140" i="10" s="1"/>
  <c r="AE139" i="10"/>
  <c r="AE140" i="10" s="1"/>
  <c r="AF139" i="10"/>
  <c r="AF140" i="10" s="1"/>
  <c r="X139" i="10"/>
  <c r="X140" i="10" s="1"/>
  <c r="X186" i="10"/>
  <c r="X187" i="10" s="1"/>
  <c r="Y183" i="10"/>
  <c r="Y184" i="10" s="1"/>
  <c r="Z183" i="10"/>
  <c r="Z184" i="10" s="1"/>
  <c r="AA183" i="10"/>
  <c r="AA184" i="10" s="1"/>
  <c r="AB183" i="10"/>
  <c r="AB184" i="10" s="1"/>
  <c r="AC183" i="10"/>
  <c r="AC184" i="10" s="1"/>
  <c r="AD183" i="10"/>
  <c r="AD184" i="10" s="1"/>
  <c r="AE183" i="10"/>
  <c r="AE184" i="10" s="1"/>
  <c r="AF183" i="10"/>
  <c r="AF184" i="10" s="1"/>
  <c r="Y136" i="10"/>
  <c r="Y137" i="10" s="1"/>
  <c r="Z136" i="10"/>
  <c r="Z137" i="10" s="1"/>
  <c r="AA136" i="10"/>
  <c r="AA137" i="10" s="1"/>
  <c r="AB136" i="10"/>
  <c r="AB137" i="10" s="1"/>
  <c r="AC136" i="10"/>
  <c r="AC137" i="10" s="1"/>
  <c r="AD136" i="10"/>
  <c r="AD137" i="10" s="1"/>
  <c r="AE136" i="10"/>
  <c r="AE137" i="10" s="1"/>
  <c r="AF136" i="10"/>
  <c r="AF137" i="10" s="1"/>
  <c r="X136" i="10"/>
  <c r="X137" i="10" s="1"/>
  <c r="X183" i="10"/>
  <c r="X184" i="10" s="1"/>
  <c r="AF180" i="10"/>
  <c r="AF181" i="10" s="1"/>
  <c r="AE180" i="10"/>
  <c r="AE181" i="10" s="1"/>
  <c r="AD180" i="10"/>
  <c r="AD181" i="10" s="1"/>
  <c r="AC180" i="10"/>
  <c r="AC181" i="10" s="1"/>
  <c r="AB180" i="10"/>
  <c r="AB181" i="10" s="1"/>
  <c r="AA180" i="10"/>
  <c r="AA181" i="10" s="1"/>
  <c r="Z180" i="10"/>
  <c r="Z181" i="10" s="1"/>
  <c r="Y180" i="10"/>
  <c r="Y181" i="10" s="1"/>
  <c r="R42" i="10"/>
  <c r="S42" i="10"/>
  <c r="T42" i="10"/>
  <c r="U42" i="10"/>
  <c r="V42" i="10"/>
  <c r="W42" i="10"/>
  <c r="R43" i="10"/>
  <c r="S43" i="10"/>
  <c r="T43" i="10"/>
  <c r="U43" i="10"/>
  <c r="V43" i="10"/>
  <c r="W43" i="10"/>
  <c r="Q81" i="24"/>
  <c r="R81" i="24"/>
  <c r="S81" i="24"/>
  <c r="T81" i="24"/>
  <c r="U81" i="24"/>
  <c r="Q82" i="24"/>
  <c r="R82" i="24"/>
  <c r="S82" i="24"/>
  <c r="T82" i="24"/>
  <c r="U82" i="24"/>
  <c r="Q83" i="24"/>
  <c r="R83" i="24"/>
  <c r="S83" i="24"/>
  <c r="T83" i="24"/>
  <c r="U83" i="24"/>
  <c r="Q84" i="24"/>
  <c r="R84" i="24"/>
  <c r="S84" i="24"/>
  <c r="T84" i="24"/>
  <c r="U84" i="24"/>
  <c r="Q85" i="24"/>
  <c r="R85" i="24"/>
  <c r="S85" i="24"/>
  <c r="T85" i="24"/>
  <c r="U85" i="24"/>
  <c r="Q86" i="24"/>
  <c r="R86" i="24"/>
  <c r="S86" i="24"/>
  <c r="T86" i="24"/>
  <c r="U86" i="24"/>
  <c r="Q87" i="24"/>
  <c r="R87" i="24"/>
  <c r="S87" i="24"/>
  <c r="T87" i="24"/>
  <c r="U87" i="24"/>
  <c r="Q88" i="24"/>
  <c r="R88" i="24"/>
  <c r="S88" i="24"/>
  <c r="T88" i="24"/>
  <c r="U88" i="24"/>
  <c r="Q89" i="24"/>
  <c r="R89" i="24"/>
  <c r="S89" i="24"/>
  <c r="T89" i="24"/>
  <c r="U89" i="24"/>
  <c r="Q90" i="24"/>
  <c r="R90" i="24"/>
  <c r="S90" i="24"/>
  <c r="T90" i="24"/>
  <c r="U90" i="24"/>
  <c r="Q91" i="24"/>
  <c r="R91" i="24"/>
  <c r="S91" i="24"/>
  <c r="T91" i="24"/>
  <c r="U91" i="24"/>
  <c r="Q92" i="24"/>
  <c r="R92" i="24"/>
  <c r="S92" i="24"/>
  <c r="T92" i="24"/>
  <c r="U92" i="24"/>
  <c r="Q93" i="24"/>
  <c r="R93" i="24"/>
  <c r="S93" i="24"/>
  <c r="T93" i="24"/>
  <c r="U93" i="24"/>
  <c r="Q94" i="24"/>
  <c r="R94" i="24"/>
  <c r="S94" i="24"/>
  <c r="T94" i="24"/>
  <c r="U94" i="24"/>
  <c r="Q95" i="24"/>
  <c r="R95" i="24"/>
  <c r="S95" i="24"/>
  <c r="T95" i="24"/>
  <c r="U95" i="24"/>
  <c r="Q96" i="24"/>
  <c r="R96" i="24"/>
  <c r="S96" i="24"/>
  <c r="T96" i="24"/>
  <c r="U96" i="24"/>
  <c r="Q97" i="24"/>
  <c r="C8" i="24" s="1"/>
  <c r="R97" i="24"/>
  <c r="D8" i="24" s="1"/>
  <c r="S97" i="24"/>
  <c r="T97" i="24"/>
  <c r="U97" i="24"/>
  <c r="Q98" i="24"/>
  <c r="R98" i="24"/>
  <c r="S98" i="24"/>
  <c r="T98" i="24"/>
  <c r="U98" i="24"/>
  <c r="Q99" i="24"/>
  <c r="R99" i="24"/>
  <c r="S99" i="24"/>
  <c r="T99" i="24"/>
  <c r="U99" i="24"/>
  <c r="Q100" i="24"/>
  <c r="R100" i="24"/>
  <c r="S100" i="24"/>
  <c r="T100" i="24"/>
  <c r="U100" i="24"/>
  <c r="Q101" i="24"/>
  <c r="R101" i="24"/>
  <c r="S101" i="24"/>
  <c r="T101" i="24"/>
  <c r="U101" i="24"/>
  <c r="Q102" i="24"/>
  <c r="R102" i="24"/>
  <c r="S102" i="24"/>
  <c r="T102" i="24"/>
  <c r="U102" i="24"/>
  <c r="Q103" i="24"/>
  <c r="R103" i="24"/>
  <c r="S103" i="24"/>
  <c r="T103" i="24"/>
  <c r="U103" i="24"/>
  <c r="Q104" i="24"/>
  <c r="R104" i="24"/>
  <c r="S104" i="24"/>
  <c r="T104" i="24"/>
  <c r="U104" i="24"/>
  <c r="Q105" i="24"/>
  <c r="R105" i="24"/>
  <c r="S105" i="24"/>
  <c r="T105" i="24"/>
  <c r="U105" i="24"/>
  <c r="Q106" i="24"/>
  <c r="R106" i="24"/>
  <c r="S106" i="24"/>
  <c r="T106" i="24"/>
  <c r="U106" i="24"/>
  <c r="Q107" i="24"/>
  <c r="R107" i="24"/>
  <c r="S107" i="24"/>
  <c r="T107" i="24"/>
  <c r="U107" i="24"/>
  <c r="Q108" i="24"/>
  <c r="R108" i="24"/>
  <c r="S108" i="24"/>
  <c r="T108" i="24"/>
  <c r="U108" i="24"/>
  <c r="Q109" i="24"/>
  <c r="R109" i="24"/>
  <c r="S109" i="24"/>
  <c r="T109" i="24"/>
  <c r="U109" i="24"/>
  <c r="Q110" i="24"/>
  <c r="R110" i="24"/>
  <c r="S110" i="24"/>
  <c r="T110" i="24"/>
  <c r="U110" i="24"/>
  <c r="Q111" i="24"/>
  <c r="R111" i="24"/>
  <c r="S111" i="24"/>
  <c r="T111" i="24"/>
  <c r="U111" i="24"/>
  <c r="Q112" i="24"/>
  <c r="R112" i="24"/>
  <c r="S112" i="24"/>
  <c r="T112" i="24"/>
  <c r="U112" i="24"/>
  <c r="Q113" i="24"/>
  <c r="R113" i="24"/>
  <c r="S113" i="24"/>
  <c r="T113" i="24"/>
  <c r="U113" i="24"/>
  <c r="Q114" i="24"/>
  <c r="R114" i="24"/>
  <c r="S114" i="24"/>
  <c r="T114" i="24"/>
  <c r="U114" i="24"/>
  <c r="Q115" i="24"/>
  <c r="R115" i="24"/>
  <c r="S115" i="24"/>
  <c r="T115" i="24"/>
  <c r="U115" i="24"/>
  <c r="Q116" i="24"/>
  <c r="R116" i="24"/>
  <c r="S116" i="24"/>
  <c r="T116" i="24"/>
  <c r="U116" i="24"/>
  <c r="Q117" i="24"/>
  <c r="R117" i="24"/>
  <c r="S117" i="24"/>
  <c r="T117" i="24"/>
  <c r="U117" i="24"/>
  <c r="Q118" i="24"/>
  <c r="R118" i="24"/>
  <c r="S118" i="24"/>
  <c r="T118" i="24"/>
  <c r="U118" i="24"/>
  <c r="X77" i="10"/>
  <c r="X78" i="10" s="1"/>
  <c r="R50" i="10"/>
  <c r="S50" i="10"/>
  <c r="U50" i="10"/>
  <c r="V50" i="10"/>
  <c r="W50" i="10"/>
  <c r="R51" i="10"/>
  <c r="S51" i="10"/>
  <c r="T51" i="10"/>
  <c r="U51" i="10"/>
  <c r="V51" i="10"/>
  <c r="W51" i="10"/>
  <c r="R52" i="10"/>
  <c r="T52" i="10"/>
  <c r="U52" i="10"/>
  <c r="V52" i="10"/>
  <c r="W52" i="10"/>
  <c r="R53" i="10"/>
  <c r="U53" i="10"/>
  <c r="V53" i="10"/>
  <c r="W53" i="10"/>
  <c r="C8" i="10"/>
  <c r="D8" i="10"/>
  <c r="E8" i="10"/>
  <c r="R56" i="10"/>
  <c r="S56" i="10"/>
  <c r="T56" i="10"/>
  <c r="V56" i="10"/>
  <c r="W56" i="10"/>
  <c r="R57" i="10"/>
  <c r="S57" i="10"/>
  <c r="T57" i="10"/>
  <c r="U57" i="10"/>
  <c r="V57" i="10"/>
  <c r="W57" i="10"/>
  <c r="R58" i="10"/>
  <c r="S58" i="10"/>
  <c r="T58" i="10"/>
  <c r="U58" i="10"/>
  <c r="V58" i="10"/>
  <c r="W58" i="10"/>
  <c r="R59" i="10"/>
  <c r="S59" i="10"/>
  <c r="T59" i="10"/>
  <c r="U59" i="10"/>
  <c r="V59" i="10"/>
  <c r="W59" i="10"/>
  <c r="R60" i="10"/>
  <c r="S60" i="10"/>
  <c r="T60" i="10"/>
  <c r="U60" i="10"/>
  <c r="V60" i="10"/>
  <c r="W60" i="10"/>
  <c r="C22" i="22"/>
  <c r="D22" i="22"/>
  <c r="E22" i="22"/>
  <c r="F22" i="22"/>
  <c r="G22" i="22"/>
  <c r="H22" i="22"/>
  <c r="I22" i="22"/>
  <c r="B22" i="22"/>
  <c r="B19" i="22"/>
  <c r="R36" i="10"/>
  <c r="R37" i="10"/>
  <c r="R38" i="10"/>
  <c r="R39" i="10"/>
  <c r="AF86" i="10"/>
  <c r="AF87" i="10" s="1"/>
  <c r="AE86" i="10"/>
  <c r="AE87" i="10" s="1"/>
  <c r="AD86" i="10"/>
  <c r="AD87" i="10" s="1"/>
  <c r="AC86" i="10"/>
  <c r="AC87" i="10" s="1"/>
  <c r="AB86" i="10"/>
  <c r="AB87" i="10" s="1"/>
  <c r="AA86" i="10"/>
  <c r="AA87" i="10" s="1"/>
  <c r="Z86" i="10"/>
  <c r="Z87" i="10" s="1"/>
  <c r="Y86" i="10"/>
  <c r="Y87" i="10" s="1"/>
  <c r="X86" i="10"/>
  <c r="X87" i="10" s="1"/>
  <c r="AF83" i="10"/>
  <c r="AF84" i="10" s="1"/>
  <c r="AE83" i="10"/>
  <c r="AE84" i="10" s="1"/>
  <c r="AD83" i="10"/>
  <c r="AD84" i="10" s="1"/>
  <c r="AC83" i="10"/>
  <c r="AC84" i="10" s="1"/>
  <c r="AA83" i="10"/>
  <c r="AA84" i="10" s="1"/>
  <c r="Z83" i="10"/>
  <c r="Z84" i="10" s="1"/>
  <c r="Y83" i="10"/>
  <c r="Y84" i="10" s="1"/>
  <c r="X83" i="10"/>
  <c r="X84" i="10" s="1"/>
  <c r="AF80" i="10"/>
  <c r="AF81" i="10" s="1"/>
  <c r="AE80" i="10"/>
  <c r="AE81" i="10" s="1"/>
  <c r="AD80" i="10"/>
  <c r="AD81" i="10" s="1"/>
  <c r="AC80" i="10"/>
  <c r="AB80" i="10"/>
  <c r="AB81" i="10" s="1"/>
  <c r="AA80" i="10"/>
  <c r="AA81" i="10" s="1"/>
  <c r="Z80" i="10"/>
  <c r="Z81" i="10" s="1"/>
  <c r="Y80" i="10"/>
  <c r="Y81" i="10" s="1"/>
  <c r="X80" i="10"/>
  <c r="X81" i="10" s="1"/>
  <c r="AF77" i="10"/>
  <c r="AF78" i="10" s="1"/>
  <c r="AF92" i="10"/>
  <c r="AF93" i="10" s="1"/>
  <c r="AF95" i="10"/>
  <c r="AF96" i="10" s="1"/>
  <c r="AF98" i="10"/>
  <c r="AF99" i="10" s="1"/>
  <c r="AF101" i="10"/>
  <c r="AF102" i="10" s="1"/>
  <c r="AF107" i="10"/>
  <c r="AF108" i="10" s="1"/>
  <c r="AF110" i="10"/>
  <c r="AF111" i="10" s="1"/>
  <c r="AF113" i="10"/>
  <c r="AF114" i="10" s="1"/>
  <c r="AF116" i="10"/>
  <c r="AF117" i="10" s="1"/>
  <c r="AD77" i="10"/>
  <c r="AD78" i="10" s="1"/>
  <c r="AC77" i="10"/>
  <c r="AC78" i="10" s="1"/>
  <c r="Z77" i="10"/>
  <c r="Z78" i="10" s="1"/>
  <c r="Y77" i="10"/>
  <c r="Y78" i="10" s="1"/>
  <c r="S39" i="10"/>
  <c r="W35" i="10"/>
  <c r="U36" i="24"/>
  <c r="W74" i="10"/>
  <c r="W36" i="10"/>
  <c r="W37" i="10"/>
  <c r="W38" i="10"/>
  <c r="W39" i="10"/>
  <c r="W40" i="10"/>
  <c r="Q40" i="10" s="1"/>
  <c r="W41" i="10"/>
  <c r="Q41" i="10" s="1"/>
  <c r="W44" i="10"/>
  <c r="W45" i="10"/>
  <c r="W46" i="10"/>
  <c r="W47" i="10"/>
  <c r="W48" i="10"/>
  <c r="W49" i="10"/>
  <c r="I54" i="26"/>
  <c r="H54" i="26"/>
  <c r="G54" i="26"/>
  <c r="F54" i="26"/>
  <c r="E54" i="26"/>
  <c r="D54" i="26"/>
  <c r="C42" i="26"/>
  <c r="E6" i="26"/>
  <c r="F9" i="26"/>
  <c r="F8" i="26"/>
  <c r="F7" i="26"/>
  <c r="F21" i="26"/>
  <c r="F24" i="26"/>
  <c r="F23" i="26"/>
  <c r="F2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119" i="24"/>
  <c r="S119" i="24"/>
  <c r="T119" i="24"/>
  <c r="U119" i="24"/>
  <c r="R120" i="24"/>
  <c r="S120" i="24"/>
  <c r="T120" i="24"/>
  <c r="U120" i="24"/>
  <c r="R121" i="24"/>
  <c r="S121" i="24"/>
  <c r="T121" i="24"/>
  <c r="U121" i="24"/>
  <c r="R122" i="24"/>
  <c r="S122" i="24"/>
  <c r="T122" i="24"/>
  <c r="U122" i="24"/>
  <c r="R123" i="24"/>
  <c r="S123" i="24"/>
  <c r="T123" i="24"/>
  <c r="U123" i="24"/>
  <c r="R124" i="24"/>
  <c r="S124" i="24"/>
  <c r="T124" i="24"/>
  <c r="U124" i="24"/>
  <c r="R125" i="24"/>
  <c r="S125" i="24"/>
  <c r="T125" i="24"/>
  <c r="U125" i="24"/>
  <c r="R126" i="24"/>
  <c r="S126" i="24"/>
  <c r="T126" i="24"/>
  <c r="U126" i="24"/>
  <c r="R127" i="24"/>
  <c r="S127" i="24"/>
  <c r="T127" i="24"/>
  <c r="U127" i="24"/>
  <c r="R128" i="24"/>
  <c r="S128" i="24"/>
  <c r="T128" i="24"/>
  <c r="U128" i="24"/>
  <c r="R129" i="24"/>
  <c r="S129" i="24"/>
  <c r="T129" i="24"/>
  <c r="U129" i="24"/>
  <c r="R130" i="24"/>
  <c r="S130" i="24"/>
  <c r="T130" i="24"/>
  <c r="U130" i="24"/>
  <c r="R131" i="24"/>
  <c r="S131" i="24"/>
  <c r="T131" i="24"/>
  <c r="U131"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E11" i="10"/>
  <c r="D11" i="10"/>
  <c r="C11" i="10"/>
  <c r="F71" i="26"/>
  <c r="C71" i="26"/>
  <c r="G41" i="23" a="1"/>
  <c r="G41" i="23" s="1"/>
  <c r="E41" i="23"/>
  <c r="K101" i="23"/>
  <c r="K100" i="23"/>
  <c r="O112" i="23"/>
  <c r="O117" i="23" s="1"/>
  <c r="O111" i="23"/>
  <c r="O116" i="23" s="1"/>
  <c r="O110" i="23"/>
  <c r="O115" i="23" s="1"/>
  <c r="M112" i="23"/>
  <c r="M117" i="23" s="1"/>
  <c r="M111" i="23"/>
  <c r="M110" i="23"/>
  <c r="M115" i="23" s="1"/>
  <c r="K112" i="23"/>
  <c r="K117" i="23" s="1"/>
  <c r="K111" i="23"/>
  <c r="K116" i="23" s="1"/>
  <c r="K110" i="23"/>
  <c r="K115" i="23" s="1"/>
  <c r="O121" i="23"/>
  <c r="O126" i="23" s="1"/>
  <c r="O120" i="23"/>
  <c r="O125" i="23" s="1"/>
  <c r="O119" i="23"/>
  <c r="M121" i="23"/>
  <c r="M126" i="23" s="1"/>
  <c r="M120" i="23"/>
  <c r="M125" i="23" s="1"/>
  <c r="K120" i="23"/>
  <c r="K125" i="23" s="1"/>
  <c r="M119" i="23"/>
  <c r="M124" i="23" s="1"/>
  <c r="K119" i="23"/>
  <c r="K124" i="23" s="1"/>
  <c r="O129" i="23"/>
  <c r="O133" i="23" s="1"/>
  <c r="O128" i="23"/>
  <c r="O132" i="23" s="1"/>
  <c r="K129" i="23"/>
  <c r="K133" i="23" s="1"/>
  <c r="M128" i="23"/>
  <c r="M132" i="23" s="1"/>
  <c r="K128" i="23"/>
  <c r="K132" i="23" s="1"/>
  <c r="O136" i="23"/>
  <c r="O135" i="23"/>
  <c r="M136" i="23"/>
  <c r="M140" i="23" s="1"/>
  <c r="M135" i="23"/>
  <c r="M139" i="23" s="1"/>
  <c r="K136" i="23"/>
  <c r="K140" i="23" s="1"/>
  <c r="K135" i="23"/>
  <c r="K139" i="23" s="1"/>
  <c r="O147" i="23"/>
  <c r="O146" i="23"/>
  <c r="M147" i="23"/>
  <c r="M146" i="23"/>
  <c r="K147" i="23"/>
  <c r="K146" i="23"/>
  <c r="O154" i="23"/>
  <c r="O153" i="23"/>
  <c r="M154" i="23"/>
  <c r="K154" i="23"/>
  <c r="K153" i="23"/>
  <c r="O161" i="23"/>
  <c r="O160" i="23"/>
  <c r="M161" i="23"/>
  <c r="M160" i="23"/>
  <c r="K161" i="23"/>
  <c r="K155" i="23"/>
  <c r="O168" i="23"/>
  <c r="O167" i="23"/>
  <c r="M168" i="23"/>
  <c r="M167" i="23"/>
  <c r="K168" i="23"/>
  <c r="K167" i="23"/>
  <c r="O175" i="23"/>
  <c r="K175" i="23"/>
  <c r="M175" i="23"/>
  <c r="O174" i="23"/>
  <c r="M174" i="23"/>
  <c r="K174" i="23"/>
  <c r="O176" i="23"/>
  <c r="M176" i="23"/>
  <c r="K176" i="23"/>
  <c r="O187" i="23"/>
  <c r="O186" i="23"/>
  <c r="M187" i="23"/>
  <c r="M186" i="23"/>
  <c r="K187" i="23"/>
  <c r="K181" i="23"/>
  <c r="O194" i="23"/>
  <c r="O193" i="23"/>
  <c r="M194" i="23"/>
  <c r="M193" i="23"/>
  <c r="K192" i="23"/>
  <c r="O201" i="23"/>
  <c r="O200" i="23"/>
  <c r="O195" i="23"/>
  <c r="M201" i="23"/>
  <c r="M200" i="23"/>
  <c r="K201" i="23"/>
  <c r="O206" i="23"/>
  <c r="M206" i="23"/>
  <c r="K206" i="23"/>
  <c r="O211" i="23"/>
  <c r="M211" i="23"/>
  <c r="K211" i="23"/>
  <c r="O216" i="23"/>
  <c r="M216" i="23"/>
  <c r="K216" i="23"/>
  <c r="K212" i="23"/>
  <c r="O223" i="23"/>
  <c r="O222" i="23"/>
  <c r="M222" i="23"/>
  <c r="K223" i="23"/>
  <c r="O230" i="23"/>
  <c r="O224" i="23"/>
  <c r="M230" i="23"/>
  <c r="M224" i="23"/>
  <c r="K230" i="23"/>
  <c r="K224" i="23"/>
  <c r="O239" i="23"/>
  <c r="O237" i="23"/>
  <c r="O238" i="23"/>
  <c r="M239" i="23"/>
  <c r="M238" i="23"/>
  <c r="K239" i="23"/>
  <c r="K238" i="23"/>
  <c r="K237" i="23"/>
  <c r="O248" i="23"/>
  <c r="O240" i="23"/>
  <c r="M248" i="23"/>
  <c r="M247" i="23"/>
  <c r="K247" i="23"/>
  <c r="M240" i="23"/>
  <c r="K248" i="23"/>
  <c r="K246" i="23"/>
  <c r="O108" i="23"/>
  <c r="O107" i="23"/>
  <c r="O255" i="23"/>
  <c r="O254" i="23"/>
  <c r="M108" i="23"/>
  <c r="M255" i="23"/>
  <c r="M107" i="23"/>
  <c r="M254" i="23"/>
  <c r="K108" i="23"/>
  <c r="K249" i="23"/>
  <c r="K107" i="23"/>
  <c r="O101" i="23"/>
  <c r="O100" i="23"/>
  <c r="M101" i="23"/>
  <c r="M100" i="23"/>
  <c r="O90" i="23"/>
  <c r="M94" i="23"/>
  <c r="K94" i="23"/>
  <c r="O89" i="23"/>
  <c r="O88" i="23"/>
  <c r="O87" i="23"/>
  <c r="M89" i="23"/>
  <c r="M88" i="23"/>
  <c r="M87" i="23"/>
  <c r="K89" i="23"/>
  <c r="K88" i="23"/>
  <c r="K87" i="23"/>
  <c r="M42" i="23"/>
  <c r="O80" i="23"/>
  <c r="O79" i="23"/>
  <c r="O78" i="23"/>
  <c r="M80" i="23"/>
  <c r="M79" i="23"/>
  <c r="K79" i="23"/>
  <c r="M78" i="23"/>
  <c r="K80" i="23"/>
  <c r="K72" i="23"/>
  <c r="O68" i="23"/>
  <c r="M68" i="23"/>
  <c r="K68" i="23"/>
  <c r="X107" i="10"/>
  <c r="X108" i="10" s="1"/>
  <c r="Y116" i="10"/>
  <c r="Y117" i="10" s="1"/>
  <c r="Z116" i="10"/>
  <c r="Z117" i="10" s="1"/>
  <c r="AA116" i="10"/>
  <c r="AA117" i="10" s="1"/>
  <c r="AB116" i="10"/>
  <c r="AB117" i="10" s="1"/>
  <c r="AC116" i="10"/>
  <c r="AC117" i="10" s="1"/>
  <c r="AD116" i="10"/>
  <c r="AD117" i="10" s="1"/>
  <c r="AE116" i="10"/>
  <c r="AE117" i="10" s="1"/>
  <c r="Y113" i="10"/>
  <c r="Y114" i="10" s="1"/>
  <c r="Z113" i="10"/>
  <c r="Z114" i="10" s="1"/>
  <c r="AA113" i="10"/>
  <c r="AA114" i="10" s="1"/>
  <c r="AB113" i="10"/>
  <c r="AB114" i="10" s="1"/>
  <c r="AC113" i="10"/>
  <c r="AC114" i="10" s="1"/>
  <c r="AD113" i="10"/>
  <c r="AD114" i="10" s="1"/>
  <c r="AE113" i="10"/>
  <c r="AE114" i="10" s="1"/>
  <c r="Y110" i="10"/>
  <c r="Y111" i="10" s="1"/>
  <c r="Z110" i="10"/>
  <c r="Z111" i="10" s="1"/>
  <c r="AA110" i="10"/>
  <c r="AA111" i="10" s="1"/>
  <c r="AB110" i="10"/>
  <c r="AB111" i="10" s="1"/>
  <c r="AC110" i="10"/>
  <c r="AC111" i="10" s="1"/>
  <c r="AD110" i="10"/>
  <c r="AD111" i="10" s="1"/>
  <c r="AE110" i="10"/>
  <c r="AE111" i="10" s="1"/>
  <c r="X116" i="10"/>
  <c r="X117" i="10" s="1"/>
  <c r="X113" i="10"/>
  <c r="X114" i="10" s="1"/>
  <c r="X110" i="10"/>
  <c r="X111" i="10" s="1"/>
  <c r="P255" i="23"/>
  <c r="N255" i="23"/>
  <c r="L255" i="23"/>
  <c r="J255" i="23"/>
  <c r="P254" i="23"/>
  <c r="N254" i="23"/>
  <c r="L254" i="23"/>
  <c r="J254" i="23"/>
  <c r="P251" i="23"/>
  <c r="N251" i="23"/>
  <c r="L251" i="23"/>
  <c r="J251" i="23"/>
  <c r="P250" i="23"/>
  <c r="N250" i="23"/>
  <c r="L250" i="23"/>
  <c r="J250" i="23"/>
  <c r="P248" i="23"/>
  <c r="N248" i="23"/>
  <c r="L248" i="23"/>
  <c r="J248" i="23"/>
  <c r="P247" i="23"/>
  <c r="N247" i="23"/>
  <c r="L247" i="23"/>
  <c r="J247" i="23"/>
  <c r="P246" i="23"/>
  <c r="N246" i="23"/>
  <c r="L246" i="23"/>
  <c r="J246" i="23"/>
  <c r="P243" i="23"/>
  <c r="N243" i="23"/>
  <c r="L243" i="23"/>
  <c r="J243" i="23"/>
  <c r="P242" i="23"/>
  <c r="N242" i="23"/>
  <c r="L242" i="23"/>
  <c r="J242" i="23"/>
  <c r="P241" i="23"/>
  <c r="N241" i="23"/>
  <c r="L241" i="23"/>
  <c r="J241" i="23"/>
  <c r="Y107" i="10"/>
  <c r="Y108" i="10" s="1"/>
  <c r="Z107" i="10"/>
  <c r="Z108" i="10" s="1"/>
  <c r="AA107" i="10"/>
  <c r="AA108" i="10" s="1"/>
  <c r="AB107" i="10"/>
  <c r="AB108" i="10" s="1"/>
  <c r="AC107" i="10"/>
  <c r="AC108" i="10" s="1"/>
  <c r="AD107" i="10"/>
  <c r="AD108" i="10" s="1"/>
  <c r="AE107" i="10"/>
  <c r="AE108" i="10" s="1"/>
  <c r="P239" i="23"/>
  <c r="N239" i="23"/>
  <c r="L239" i="23"/>
  <c r="J239" i="23"/>
  <c r="P238" i="23"/>
  <c r="N238" i="23"/>
  <c r="L238" i="23"/>
  <c r="J238" i="23"/>
  <c r="P237" i="23"/>
  <c r="N237" i="23"/>
  <c r="L237" i="23"/>
  <c r="J237" i="23"/>
  <c r="P234" i="23"/>
  <c r="N234" i="23"/>
  <c r="L234" i="23"/>
  <c r="J234" i="23"/>
  <c r="P233" i="23"/>
  <c r="N233" i="23"/>
  <c r="L233" i="23"/>
  <c r="J233" i="23"/>
  <c r="P232" i="23"/>
  <c r="N232" i="23"/>
  <c r="L232" i="23"/>
  <c r="J232" i="23"/>
  <c r="P230" i="23"/>
  <c r="N230" i="23"/>
  <c r="L230" i="23"/>
  <c r="J230" i="23"/>
  <c r="P229" i="23"/>
  <c r="N229" i="23"/>
  <c r="L229" i="23"/>
  <c r="J229" i="23"/>
  <c r="P226" i="23"/>
  <c r="N226" i="23"/>
  <c r="L226" i="23"/>
  <c r="J226" i="23"/>
  <c r="P225" i="23"/>
  <c r="N225" i="23"/>
  <c r="L225" i="23"/>
  <c r="J225" i="23"/>
  <c r="P223" i="23"/>
  <c r="N223" i="23"/>
  <c r="L223" i="23"/>
  <c r="J223" i="23"/>
  <c r="P222" i="23"/>
  <c r="N222" i="23"/>
  <c r="L222" i="23"/>
  <c r="J222" i="23"/>
  <c r="P219" i="23"/>
  <c r="N219" i="23"/>
  <c r="L219" i="23"/>
  <c r="J219" i="23"/>
  <c r="P218" i="23"/>
  <c r="N218" i="23"/>
  <c r="L218" i="23"/>
  <c r="J218" i="23"/>
  <c r="P216" i="23"/>
  <c r="N216" i="23"/>
  <c r="L216" i="23"/>
  <c r="J216" i="23"/>
  <c r="P213" i="23"/>
  <c r="N213" i="23"/>
  <c r="L213" i="23"/>
  <c r="J213" i="23"/>
  <c r="P211" i="23"/>
  <c r="N211" i="23"/>
  <c r="L211" i="23"/>
  <c r="J211" i="23"/>
  <c r="P208" i="23"/>
  <c r="N208" i="23"/>
  <c r="L208" i="23"/>
  <c r="J208" i="23"/>
  <c r="P206" i="23"/>
  <c r="N206" i="23"/>
  <c r="L206" i="23"/>
  <c r="J206" i="23"/>
  <c r="P203" i="23"/>
  <c r="N203" i="23"/>
  <c r="L203" i="23"/>
  <c r="J203" i="23"/>
  <c r="Y101" i="10"/>
  <c r="Y102" i="10" s="1"/>
  <c r="AA101" i="10"/>
  <c r="AA102" i="10" s="1"/>
  <c r="AB101" i="10"/>
  <c r="AB102" i="10" s="1"/>
  <c r="AC101" i="10"/>
  <c r="AC102" i="10" s="1"/>
  <c r="AD101" i="10"/>
  <c r="AD102" i="10" s="1"/>
  <c r="AE101" i="10"/>
  <c r="AE102" i="10" s="1"/>
  <c r="X101" i="10"/>
  <c r="X102" i="10" s="1"/>
  <c r="P201" i="23"/>
  <c r="N201" i="23"/>
  <c r="L201" i="23"/>
  <c r="J201" i="23"/>
  <c r="P200" i="23"/>
  <c r="N200" i="23"/>
  <c r="L200" i="23"/>
  <c r="J200" i="23"/>
  <c r="P197" i="23"/>
  <c r="N197" i="23"/>
  <c r="L197" i="23"/>
  <c r="J197" i="23"/>
  <c r="P196" i="23"/>
  <c r="N196" i="23"/>
  <c r="L196" i="23"/>
  <c r="J196" i="23"/>
  <c r="P194" i="23"/>
  <c r="N194" i="23"/>
  <c r="L194" i="23"/>
  <c r="J194" i="23"/>
  <c r="P193" i="23"/>
  <c r="N193" i="23"/>
  <c r="L193" i="23"/>
  <c r="J193" i="23"/>
  <c r="P190" i="23"/>
  <c r="N190" i="23"/>
  <c r="L190" i="23"/>
  <c r="J190" i="23"/>
  <c r="P189" i="23"/>
  <c r="N189" i="23"/>
  <c r="L189" i="23"/>
  <c r="J189" i="23"/>
  <c r="P187" i="23"/>
  <c r="N187" i="23"/>
  <c r="L187" i="23"/>
  <c r="J187" i="23"/>
  <c r="P186" i="23"/>
  <c r="N186" i="23"/>
  <c r="L186" i="23"/>
  <c r="J186" i="23"/>
  <c r="P183" i="23"/>
  <c r="N183" i="23"/>
  <c r="L183" i="23"/>
  <c r="J183" i="23"/>
  <c r="P182" i="23"/>
  <c r="N182" i="23"/>
  <c r="L182" i="23"/>
  <c r="J182" i="23"/>
  <c r="P180" i="23"/>
  <c r="N180" i="23"/>
  <c r="L180" i="23"/>
  <c r="J180" i="23"/>
  <c r="P177" i="23"/>
  <c r="N177" i="23"/>
  <c r="L177" i="23"/>
  <c r="J177" i="23"/>
  <c r="P175" i="23"/>
  <c r="N175" i="23"/>
  <c r="L175" i="23"/>
  <c r="J175" i="23"/>
  <c r="P174" i="23"/>
  <c r="N174" i="23"/>
  <c r="L174" i="23"/>
  <c r="J174" i="23"/>
  <c r="P171" i="23"/>
  <c r="N171" i="23"/>
  <c r="L171" i="23"/>
  <c r="J171" i="23"/>
  <c r="P170" i="23"/>
  <c r="N170" i="23"/>
  <c r="L170" i="23"/>
  <c r="J170" i="23"/>
  <c r="P168" i="23"/>
  <c r="N168" i="23"/>
  <c r="L168" i="23"/>
  <c r="J168" i="23"/>
  <c r="P167" i="23"/>
  <c r="N167" i="23"/>
  <c r="L167" i="23"/>
  <c r="J167" i="23"/>
  <c r="P164" i="23"/>
  <c r="N164" i="23"/>
  <c r="L164" i="23"/>
  <c r="J164" i="23"/>
  <c r="P163" i="23"/>
  <c r="N163" i="23"/>
  <c r="L163" i="23"/>
  <c r="J163" i="23"/>
  <c r="P161" i="23"/>
  <c r="N161" i="23"/>
  <c r="L161" i="23"/>
  <c r="J161" i="23"/>
  <c r="P160" i="23"/>
  <c r="N160" i="23"/>
  <c r="L160" i="23"/>
  <c r="J160" i="23"/>
  <c r="P157" i="23"/>
  <c r="N157" i="23"/>
  <c r="L157" i="23"/>
  <c r="J157" i="23"/>
  <c r="P156" i="23"/>
  <c r="N156" i="23"/>
  <c r="L156" i="23"/>
  <c r="J156" i="23"/>
  <c r="Y98" i="10"/>
  <c r="Y99" i="10" s="1"/>
  <c r="Z98" i="10"/>
  <c r="Z99" i="10" s="1"/>
  <c r="AA98" i="10"/>
  <c r="AA99" i="10" s="1"/>
  <c r="AB98" i="10"/>
  <c r="AB99" i="10" s="1"/>
  <c r="AC98" i="10"/>
  <c r="AC99" i="10" s="1"/>
  <c r="AD98" i="10"/>
  <c r="AD99" i="10" s="1"/>
  <c r="AE98" i="10"/>
  <c r="AE99" i="10" s="1"/>
  <c r="P154" i="23"/>
  <c r="N154" i="23"/>
  <c r="L154" i="23"/>
  <c r="J154" i="23"/>
  <c r="P153" i="23"/>
  <c r="N153" i="23"/>
  <c r="L153" i="23"/>
  <c r="J153" i="23"/>
  <c r="P150" i="23"/>
  <c r="N150" i="23"/>
  <c r="L150" i="23"/>
  <c r="J150" i="23"/>
  <c r="P149" i="23"/>
  <c r="N149" i="23"/>
  <c r="L149" i="23"/>
  <c r="J149" i="23"/>
  <c r="P147" i="23"/>
  <c r="N147" i="23"/>
  <c r="L147" i="23"/>
  <c r="J147" i="23"/>
  <c r="P146" i="23"/>
  <c r="N146" i="23"/>
  <c r="L146" i="23"/>
  <c r="J146" i="23"/>
  <c r="P143" i="23"/>
  <c r="N143" i="23"/>
  <c r="L143" i="23"/>
  <c r="J143" i="23"/>
  <c r="P142" i="23"/>
  <c r="N142" i="23"/>
  <c r="L142" i="23"/>
  <c r="J142" i="23"/>
  <c r="X98" i="10"/>
  <c r="X99" i="10" s="1"/>
  <c r="P140" i="23"/>
  <c r="N140" i="23"/>
  <c r="L140" i="23"/>
  <c r="J140" i="23"/>
  <c r="P139" i="23"/>
  <c r="N139" i="23"/>
  <c r="L139" i="23"/>
  <c r="J139" i="23"/>
  <c r="P136" i="23"/>
  <c r="N136" i="23"/>
  <c r="L136" i="23"/>
  <c r="J136" i="23"/>
  <c r="P135" i="23"/>
  <c r="N135" i="23"/>
  <c r="L135" i="23"/>
  <c r="J135" i="23"/>
  <c r="P133" i="23"/>
  <c r="N133" i="23"/>
  <c r="L133" i="23"/>
  <c r="J133" i="23"/>
  <c r="P132" i="23"/>
  <c r="N132" i="23"/>
  <c r="L132" i="23"/>
  <c r="J132" i="23"/>
  <c r="P129" i="23"/>
  <c r="N129" i="23"/>
  <c r="L129" i="23"/>
  <c r="J129" i="23"/>
  <c r="P128" i="23"/>
  <c r="N128" i="23"/>
  <c r="L128" i="23"/>
  <c r="J128" i="23"/>
  <c r="P126" i="23"/>
  <c r="N126" i="23"/>
  <c r="L126" i="23"/>
  <c r="J126" i="23"/>
  <c r="P125" i="23"/>
  <c r="N125" i="23"/>
  <c r="L125" i="23"/>
  <c r="J125" i="23"/>
  <c r="P124" i="23"/>
  <c r="N124" i="23"/>
  <c r="L124" i="23"/>
  <c r="J124" i="23"/>
  <c r="P121" i="23"/>
  <c r="N121" i="23"/>
  <c r="L121" i="23"/>
  <c r="J121" i="23"/>
  <c r="P120" i="23"/>
  <c r="N120" i="23"/>
  <c r="L120" i="23"/>
  <c r="J120" i="23"/>
  <c r="P119" i="23"/>
  <c r="N119" i="23"/>
  <c r="L119" i="23"/>
  <c r="J119" i="23"/>
  <c r="P117" i="23"/>
  <c r="N117" i="23"/>
  <c r="L117" i="23"/>
  <c r="J117" i="23"/>
  <c r="P116" i="23"/>
  <c r="N116" i="23"/>
  <c r="L116" i="23"/>
  <c r="J116" i="23"/>
  <c r="P115" i="23"/>
  <c r="N115" i="23"/>
  <c r="L115" i="23"/>
  <c r="J115" i="23"/>
  <c r="P112" i="23"/>
  <c r="N112" i="23"/>
  <c r="L112" i="23"/>
  <c r="J112" i="23"/>
  <c r="P111" i="23"/>
  <c r="N111" i="23"/>
  <c r="L111" i="23"/>
  <c r="J111" i="23"/>
  <c r="P110" i="23"/>
  <c r="N110" i="23"/>
  <c r="L110" i="23"/>
  <c r="J110" i="23"/>
  <c r="Y95" i="10"/>
  <c r="Y96" i="10" s="1"/>
  <c r="Z95" i="10"/>
  <c r="Z96" i="10" s="1"/>
  <c r="AA95" i="10"/>
  <c r="AA96" i="10" s="1"/>
  <c r="AB95" i="10"/>
  <c r="AB96" i="10" s="1"/>
  <c r="AC95" i="10"/>
  <c r="AC96" i="10" s="1"/>
  <c r="AC92" i="10"/>
  <c r="AC93" i="10" s="1"/>
  <c r="AD95" i="10"/>
  <c r="AD96" i="10" s="1"/>
  <c r="AE95" i="10"/>
  <c r="AE96" i="10" s="1"/>
  <c r="X95" i="10"/>
  <c r="X96" i="10" s="1"/>
  <c r="Y92" i="10"/>
  <c r="Z92" i="10"/>
  <c r="AA92" i="10"/>
  <c r="AA93" i="10" s="1"/>
  <c r="AB92" i="10"/>
  <c r="AB93" i="10" s="1"/>
  <c r="AD92" i="10"/>
  <c r="AD93" i="10" s="1"/>
  <c r="AE92" i="10"/>
  <c r="AE93" i="10" s="1"/>
  <c r="X92" i="10"/>
  <c r="X93" i="10" s="1"/>
  <c r="Y74" i="10"/>
  <c r="AC74" i="10"/>
  <c r="AD74" i="10"/>
  <c r="AF74" i="10"/>
  <c r="C6" i="26"/>
  <c r="C36" i="26"/>
  <c r="D20" i="26"/>
  <c r="C20" i="26"/>
  <c r="E20" i="26"/>
  <c r="D6" i="26"/>
  <c r="J103" i="23"/>
  <c r="L103" i="23"/>
  <c r="N103" i="23"/>
  <c r="P103" i="23"/>
  <c r="J104" i="23"/>
  <c r="L104" i="23"/>
  <c r="N104" i="23"/>
  <c r="P104" i="23"/>
  <c r="J107" i="23"/>
  <c r="L107" i="23"/>
  <c r="N107" i="23"/>
  <c r="P107" i="23"/>
  <c r="J108" i="23"/>
  <c r="L108" i="23"/>
  <c r="N108" i="23"/>
  <c r="P108" i="23"/>
  <c r="J96" i="23"/>
  <c r="L96" i="23"/>
  <c r="N96" i="23"/>
  <c r="P96" i="23"/>
  <c r="J97" i="23"/>
  <c r="L97" i="23"/>
  <c r="N97" i="23"/>
  <c r="P97" i="23"/>
  <c r="J100" i="23"/>
  <c r="L100" i="23"/>
  <c r="N100" i="23"/>
  <c r="P100" i="23"/>
  <c r="J101" i="23"/>
  <c r="L101" i="23"/>
  <c r="N101" i="23"/>
  <c r="P101" i="23"/>
  <c r="J91" i="23"/>
  <c r="L91" i="23"/>
  <c r="N91" i="23"/>
  <c r="P91" i="23"/>
  <c r="J94" i="23"/>
  <c r="L94" i="23"/>
  <c r="N94" i="23"/>
  <c r="P94" i="23"/>
  <c r="J82" i="23"/>
  <c r="L82" i="23"/>
  <c r="N82" i="23"/>
  <c r="P82" i="23"/>
  <c r="J83" i="23"/>
  <c r="L83" i="23"/>
  <c r="N83" i="23"/>
  <c r="P83" i="23"/>
  <c r="J84" i="23"/>
  <c r="L84" i="23"/>
  <c r="N84" i="23"/>
  <c r="P84" i="23"/>
  <c r="J87" i="23"/>
  <c r="L87" i="23"/>
  <c r="N87" i="23"/>
  <c r="P87" i="23"/>
  <c r="J88" i="23"/>
  <c r="L88" i="23"/>
  <c r="N88" i="23"/>
  <c r="P88" i="23"/>
  <c r="J89" i="23"/>
  <c r="L89" i="23"/>
  <c r="N89" i="23"/>
  <c r="P89" i="23"/>
  <c r="J73" i="23"/>
  <c r="L73" i="23"/>
  <c r="N73" i="23"/>
  <c r="P73" i="23"/>
  <c r="J74" i="23"/>
  <c r="L74" i="23"/>
  <c r="N74" i="23"/>
  <c r="P74" i="23"/>
  <c r="J75" i="23"/>
  <c r="L75" i="23"/>
  <c r="N75" i="23"/>
  <c r="P75" i="23"/>
  <c r="J78" i="23"/>
  <c r="L78" i="23"/>
  <c r="N78" i="23"/>
  <c r="P78" i="23"/>
  <c r="J79" i="23"/>
  <c r="L79" i="23"/>
  <c r="N79" i="23"/>
  <c r="P79" i="23"/>
  <c r="J80" i="23"/>
  <c r="L80" i="23"/>
  <c r="N80" i="23"/>
  <c r="P80" i="23"/>
  <c r="J68" i="23"/>
  <c r="L68" i="23"/>
  <c r="N68" i="23"/>
  <c r="P68" i="23"/>
  <c r="J71" i="23"/>
  <c r="L71" i="23"/>
  <c r="N71" i="23"/>
  <c r="P71" i="23"/>
  <c r="Q131" i="24"/>
  <c r="Q130" i="24"/>
  <c r="Q129" i="24"/>
  <c r="Q128" i="24"/>
  <c r="Q127" i="24"/>
  <c r="Q126" i="24"/>
  <c r="Q125" i="24"/>
  <c r="Q124" i="24"/>
  <c r="Q123" i="24"/>
  <c r="Q122" i="24"/>
  <c r="Q121" i="24"/>
  <c r="Q120" i="24"/>
  <c r="Q119"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C9" i="24"/>
  <c r="S37" i="10"/>
  <c r="T37" i="10"/>
  <c r="U37" i="10"/>
  <c r="V37" i="10"/>
  <c r="V38" i="10"/>
  <c r="T39" i="10"/>
  <c r="V39" i="10"/>
  <c r="S35" i="10"/>
  <c r="S36" i="10"/>
  <c r="S44" i="10"/>
  <c r="S46" i="10"/>
  <c r="S47" i="10"/>
  <c r="S48" i="10"/>
  <c r="S49" i="10"/>
  <c r="R44" i="10"/>
  <c r="T44" i="10"/>
  <c r="U44" i="10"/>
  <c r="V44" i="10"/>
  <c r="R47" i="10"/>
  <c r="T47" i="10"/>
  <c r="U47" i="10"/>
  <c r="V47" i="10"/>
  <c r="R46" i="10"/>
  <c r="T46" i="10"/>
  <c r="U46" i="10"/>
  <c r="V46" i="10"/>
  <c r="R45" i="10"/>
  <c r="T45" i="10"/>
  <c r="U45" i="10"/>
  <c r="V45" i="10"/>
  <c r="R48" i="10"/>
  <c r="T48" i="10"/>
  <c r="U48" i="10"/>
  <c r="V48" i="10"/>
  <c r="R49" i="10"/>
  <c r="T49" i="10"/>
  <c r="U49" i="10"/>
  <c r="V49" i="10"/>
  <c r="U74" i="10"/>
  <c r="V74" i="10"/>
  <c r="V35" i="10"/>
  <c r="U35" i="10"/>
  <c r="T35" i="10"/>
  <c r="T36" i="10"/>
  <c r="T38" i="10"/>
  <c r="R35" i="10"/>
  <c r="V36" i="10"/>
  <c r="O63" i="23"/>
  <c r="O66" i="23" s="1"/>
  <c r="K63" i="23"/>
  <c r="K66" i="23" s="1"/>
  <c r="P66" i="23"/>
  <c r="N66" i="23"/>
  <c r="L66" i="23"/>
  <c r="J66" i="23"/>
  <c r="P63" i="23"/>
  <c r="N63" i="23"/>
  <c r="L63" i="23"/>
  <c r="J63" i="23"/>
  <c r="O56" i="23"/>
  <c r="O60" i="23" s="1"/>
  <c r="O57" i="23"/>
  <c r="O61" i="23" s="1"/>
  <c r="K57" i="23"/>
  <c r="M57" i="23"/>
  <c r="M61" i="23" s="1"/>
  <c r="K56" i="23"/>
  <c r="M56" i="23"/>
  <c r="P61" i="23"/>
  <c r="N61" i="23"/>
  <c r="L61" i="23"/>
  <c r="J61" i="23"/>
  <c r="P60" i="23"/>
  <c r="N60" i="23"/>
  <c r="L60" i="23"/>
  <c r="J60" i="23"/>
  <c r="P57" i="23"/>
  <c r="N57" i="23"/>
  <c r="L57" i="23"/>
  <c r="J57" i="23"/>
  <c r="P56" i="23"/>
  <c r="N56" i="23"/>
  <c r="L56" i="23"/>
  <c r="J56" i="23"/>
  <c r="O42" i="23"/>
  <c r="O43" i="23"/>
  <c r="O50" i="23"/>
  <c r="O54" i="23" s="1"/>
  <c r="O49" i="23"/>
  <c r="K50" i="23"/>
  <c r="M50" i="23"/>
  <c r="M54" i="23" s="1"/>
  <c r="M49" i="23"/>
  <c r="M53" i="23" s="1"/>
  <c r="K49" i="23"/>
  <c r="P54" i="23"/>
  <c r="N54" i="23"/>
  <c r="L54" i="23"/>
  <c r="J54" i="23"/>
  <c r="P53" i="23"/>
  <c r="N53" i="23"/>
  <c r="L53" i="23"/>
  <c r="J53" i="23"/>
  <c r="P50" i="23"/>
  <c r="N50" i="23"/>
  <c r="L50" i="23"/>
  <c r="J50" i="23"/>
  <c r="P49" i="23"/>
  <c r="N49" i="23"/>
  <c r="L49" i="23"/>
  <c r="J49" i="23"/>
  <c r="P47" i="23"/>
  <c r="P46" i="23"/>
  <c r="N47" i="23"/>
  <c r="N46" i="23"/>
  <c r="M43" i="23"/>
  <c r="K43" i="23"/>
  <c r="K42" i="23"/>
  <c r="P43" i="23"/>
  <c r="P42" i="23"/>
  <c r="N43" i="23"/>
  <c r="N42" i="23"/>
  <c r="L47" i="23"/>
  <c r="J47" i="23"/>
  <c r="L46" i="23"/>
  <c r="J46" i="23"/>
  <c r="L43" i="23"/>
  <c r="J43" i="23"/>
  <c r="L42" i="23"/>
  <c r="J42" i="23"/>
  <c r="P40" i="23"/>
  <c r="P39" i="23"/>
  <c r="P38" i="23"/>
  <c r="B48" i="23"/>
  <c r="C48" i="23"/>
  <c r="D48" i="23"/>
  <c r="E48" i="23"/>
  <c r="F48" i="23"/>
  <c r="G48" i="23" a="1"/>
  <c r="G48" i="23" s="1"/>
  <c r="H48" i="23" a="1"/>
  <c r="H48" i="23" s="1"/>
  <c r="B55" i="23"/>
  <c r="C55" i="23"/>
  <c r="D55" i="23"/>
  <c r="E55" i="23"/>
  <c r="F55" i="23"/>
  <c r="G55" i="23" a="1"/>
  <c r="G55" i="23" s="1"/>
  <c r="H55" i="23" a="1"/>
  <c r="H55" i="23" s="1"/>
  <c r="B62" i="23"/>
  <c r="C62" i="23"/>
  <c r="D62" i="23"/>
  <c r="E62" i="23"/>
  <c r="F62" i="23"/>
  <c r="G62" i="23" a="1"/>
  <c r="G62" i="23" s="1"/>
  <c r="H62" i="23" a="1"/>
  <c r="H62" i="23" s="1"/>
  <c r="B109" i="23"/>
  <c r="D109" i="23"/>
  <c r="F109" i="23"/>
  <c r="G109" i="23" a="1"/>
  <c r="G109" i="23" s="1"/>
  <c r="H109" i="23" a="1"/>
  <c r="H109" i="23" s="1"/>
  <c r="B118" i="23"/>
  <c r="D118" i="23"/>
  <c r="F118" i="23"/>
  <c r="G118" i="23" a="1"/>
  <c r="G118" i="23" s="1"/>
  <c r="H118" i="23" a="1"/>
  <c r="H118" i="23" s="1"/>
  <c r="B127" i="23"/>
  <c r="C127" i="23"/>
  <c r="D127" i="23"/>
  <c r="E127" i="23"/>
  <c r="F127" i="23"/>
  <c r="G127" i="23" a="1"/>
  <c r="G127" i="23" s="1"/>
  <c r="H127" i="23" a="1"/>
  <c r="H127" i="23" s="1"/>
  <c r="B134" i="23"/>
  <c r="C134" i="23"/>
  <c r="D134" i="23"/>
  <c r="E134" i="23"/>
  <c r="F134" i="23"/>
  <c r="G134" i="23" a="1"/>
  <c r="G134" i="23" s="1"/>
  <c r="H134" i="23" a="1"/>
  <c r="H134" i="23" s="1"/>
  <c r="B41" i="23"/>
  <c r="U36" i="10"/>
  <c r="H41" i="23" a="1"/>
  <c r="H41" i="23" s="1"/>
  <c r="F41" i="23"/>
  <c r="D41" i="23"/>
  <c r="C41" i="23"/>
  <c r="N40" i="23"/>
  <c r="L40" i="23"/>
  <c r="J40" i="23"/>
  <c r="N39" i="23"/>
  <c r="L39" i="23"/>
  <c r="J39" i="23"/>
  <c r="N38" i="23"/>
  <c r="L38" i="23"/>
  <c r="J38" i="23"/>
  <c r="C19" i="22"/>
  <c r="D19" i="22"/>
  <c r="E19" i="22"/>
  <c r="F19" i="22"/>
  <c r="G19" i="22"/>
  <c r="H19" i="22"/>
  <c r="I19" i="22"/>
  <c r="C16" i="22"/>
  <c r="D16" i="22"/>
  <c r="E16" i="22"/>
  <c r="F16" i="22"/>
  <c r="G16" i="22"/>
  <c r="H16" i="22"/>
  <c r="I16" i="22"/>
  <c r="B16" i="22"/>
  <c r="C13" i="22"/>
  <c r="D13" i="22"/>
  <c r="E13" i="22"/>
  <c r="F13" i="22"/>
  <c r="G13" i="22"/>
  <c r="H13" i="22"/>
  <c r="B13" i="22"/>
  <c r="E10" i="10"/>
  <c r="D9" i="10"/>
  <c r="C9" i="10"/>
  <c r="U39" i="10"/>
  <c r="U38" i="10"/>
  <c r="X180" i="10"/>
  <c r="X74" i="10"/>
  <c r="E13" i="10"/>
  <c r="AA77" i="10"/>
  <c r="AA78" i="10" s="1"/>
  <c r="C10" i="10"/>
  <c r="D10" i="10"/>
  <c r="O46" i="23" l="1"/>
  <c r="O38" i="23"/>
  <c r="K46" i="23"/>
  <c r="K38" i="23"/>
  <c r="K47" i="23"/>
  <c r="K45" i="23" s="1"/>
  <c r="K39" i="23"/>
  <c r="M47" i="23"/>
  <c r="K71" i="23"/>
  <c r="K40" i="23"/>
  <c r="K37" i="23" s="1"/>
  <c r="M46" i="23"/>
  <c r="I46" i="23" s="1"/>
  <c r="M38" i="23"/>
  <c r="M40" i="23"/>
  <c r="O39" i="23"/>
  <c r="O71" i="23"/>
  <c r="O40" i="23"/>
  <c r="O37" i="23" s="1"/>
  <c r="M210" i="23"/>
  <c r="O205" i="23"/>
  <c r="M192" i="23"/>
  <c r="O185" i="23"/>
  <c r="K93" i="23"/>
  <c r="O99" i="23"/>
  <c r="K86" i="23"/>
  <c r="O86" i="23"/>
  <c r="M99" i="23"/>
  <c r="K99" i="23"/>
  <c r="M86" i="23"/>
  <c r="K236" i="23"/>
  <c r="M205" i="23"/>
  <c r="M185" i="23"/>
  <c r="M159" i="23"/>
  <c r="M106" i="23"/>
  <c r="O221" i="23"/>
  <c r="O77" i="23"/>
  <c r="M215" i="23"/>
  <c r="O253" i="23"/>
  <c r="O210" i="23"/>
  <c r="O215" i="23"/>
  <c r="O106" i="23"/>
  <c r="O236" i="23"/>
  <c r="R56" i="27"/>
  <c r="S55" i="27"/>
  <c r="T54" i="27" s="1"/>
  <c r="S53" i="10"/>
  <c r="D6" i="10"/>
  <c r="D5" i="10" s="1"/>
  <c r="E6" i="10"/>
  <c r="E5" i="10" s="1"/>
  <c r="Z101" i="10"/>
  <c r="Z102" i="10" s="1"/>
  <c r="Z145" i="10"/>
  <c r="Z146" i="10" s="1"/>
  <c r="Z74" i="10"/>
  <c r="R74" i="10" s="1"/>
  <c r="Q61" i="10"/>
  <c r="M129" i="23"/>
  <c r="I129" i="23" s="1"/>
  <c r="F31" i="23"/>
  <c r="M81" i="23"/>
  <c r="K186" i="23"/>
  <c r="K185" i="23" s="1"/>
  <c r="O94" i="23"/>
  <c r="O93" i="23" s="1"/>
  <c r="AB74" i="10"/>
  <c r="AA74" i="10"/>
  <c r="K207" i="23"/>
  <c r="P85" i="24"/>
  <c r="K78" i="23"/>
  <c r="K77" i="23" s="1"/>
  <c r="O246" i="23"/>
  <c r="M181" i="23"/>
  <c r="K240" i="23"/>
  <c r="K188" i="23"/>
  <c r="K180" i="23"/>
  <c r="K179" i="23" s="1"/>
  <c r="P38" i="24"/>
  <c r="P39" i="24"/>
  <c r="K95" i="23"/>
  <c r="P97" i="24"/>
  <c r="P76" i="24"/>
  <c r="O181" i="23"/>
  <c r="K81" i="23"/>
  <c r="P126" i="24"/>
  <c r="O102" i="23"/>
  <c r="K215" i="23"/>
  <c r="I241" i="23"/>
  <c r="M202" i="23"/>
  <c r="B9" i="24"/>
  <c r="M102" i="23"/>
  <c r="P104" i="24"/>
  <c r="P111" i="24"/>
  <c r="P94" i="24"/>
  <c r="K229" i="23"/>
  <c r="K228" i="23" s="1"/>
  <c r="P53" i="24"/>
  <c r="M217" i="23"/>
  <c r="I251" i="23"/>
  <c r="K195" i="23"/>
  <c r="O212" i="23"/>
  <c r="P78" i="24"/>
  <c r="F20" i="26"/>
  <c r="B8" i="24"/>
  <c r="P79" i="24"/>
  <c r="P129" i="24"/>
  <c r="P113" i="24"/>
  <c r="Q63" i="10"/>
  <c r="O95" i="23"/>
  <c r="K255" i="23"/>
  <c r="I255" i="23" s="1"/>
  <c r="P120" i="24"/>
  <c r="P35" i="24"/>
  <c r="P73" i="24"/>
  <c r="M229" i="23"/>
  <c r="M228" i="23" s="1"/>
  <c r="P58" i="24"/>
  <c r="P47" i="24"/>
  <c r="P118" i="24"/>
  <c r="P116" i="24"/>
  <c r="P106" i="24"/>
  <c r="P101" i="24"/>
  <c r="P99" i="24"/>
  <c r="P92" i="24"/>
  <c r="P89" i="24"/>
  <c r="P87" i="24"/>
  <c r="P82" i="24"/>
  <c r="D13" i="24"/>
  <c r="P108" i="24"/>
  <c r="P96" i="24"/>
  <c r="P84" i="24"/>
  <c r="O202" i="23"/>
  <c r="M249" i="23"/>
  <c r="O180" i="23"/>
  <c r="O179" i="23" s="1"/>
  <c r="P60" i="24"/>
  <c r="P114" i="24"/>
  <c r="P102" i="24"/>
  <c r="P119" i="24"/>
  <c r="P40" i="24"/>
  <c r="P70" i="24"/>
  <c r="P131" i="24"/>
  <c r="M246" i="23"/>
  <c r="M245" i="23" s="1"/>
  <c r="I218" i="23"/>
  <c r="M180" i="23"/>
  <c r="M179" i="23" s="1"/>
  <c r="P52" i="24"/>
  <c r="P75" i="24"/>
  <c r="M155" i="23"/>
  <c r="P42" i="24"/>
  <c r="P54" i="24"/>
  <c r="P65" i="24"/>
  <c r="O207" i="23"/>
  <c r="K160" i="23"/>
  <c r="K159" i="23" s="1"/>
  <c r="K210" i="23"/>
  <c r="F29" i="23"/>
  <c r="D13" i="10"/>
  <c r="P45" i="24"/>
  <c r="P67" i="24"/>
  <c r="P128" i="24"/>
  <c r="K254" i="23"/>
  <c r="P41" i="24"/>
  <c r="P91" i="24"/>
  <c r="D29" i="23"/>
  <c r="C13" i="10"/>
  <c r="P55" i="24"/>
  <c r="P44" i="24"/>
  <c r="Q42" i="10"/>
  <c r="I79" i="23"/>
  <c r="I119" i="23"/>
  <c r="I219" i="23"/>
  <c r="I101" i="23"/>
  <c r="I196" i="23"/>
  <c r="P61" i="24"/>
  <c r="P122" i="24"/>
  <c r="I201" i="23"/>
  <c r="O217" i="23"/>
  <c r="O231" i="23"/>
  <c r="P72" i="24"/>
  <c r="I182" i="23"/>
  <c r="I156" i="23"/>
  <c r="K217" i="23"/>
  <c r="O199" i="23"/>
  <c r="P62" i="24"/>
  <c r="P123" i="24"/>
  <c r="K222" i="23"/>
  <c r="K221" i="23" s="1"/>
  <c r="I234" i="23"/>
  <c r="I232" i="23"/>
  <c r="I243" i="23"/>
  <c r="I107" i="23"/>
  <c r="K106" i="23"/>
  <c r="I239" i="23"/>
  <c r="I211" i="23"/>
  <c r="K102" i="23"/>
  <c r="P103" i="24"/>
  <c r="D6" i="24"/>
  <c r="Q56" i="10"/>
  <c r="P117" i="24"/>
  <c r="P112" i="24"/>
  <c r="P110" i="24"/>
  <c r="P107" i="24"/>
  <c r="P105" i="24"/>
  <c r="P100" i="24"/>
  <c r="P98" i="24"/>
  <c r="P93" i="24"/>
  <c r="P88" i="24"/>
  <c r="P86" i="24"/>
  <c r="D10" i="24"/>
  <c r="P74" i="24"/>
  <c r="I108" i="23"/>
  <c r="I87" i="23"/>
  <c r="O109" i="23"/>
  <c r="K231" i="23"/>
  <c r="M223" i="23"/>
  <c r="P77" i="24"/>
  <c r="F30" i="23"/>
  <c r="I248" i="23"/>
  <c r="I190" i="23"/>
  <c r="I74" i="23"/>
  <c r="O188" i="23"/>
  <c r="I91" i="23"/>
  <c r="C6" i="10"/>
  <c r="P66" i="24"/>
  <c r="I177" i="23"/>
  <c r="P115" i="24"/>
  <c r="I82" i="23"/>
  <c r="P56" i="24"/>
  <c r="I230" i="23"/>
  <c r="P43" i="24"/>
  <c r="I103" i="23"/>
  <c r="K202" i="23"/>
  <c r="O148" i="23"/>
  <c r="M207" i="23"/>
  <c r="I213" i="23"/>
  <c r="P46" i="24"/>
  <c r="P57" i="24"/>
  <c r="I88" i="23"/>
  <c r="E141" i="26"/>
  <c r="P124" i="24"/>
  <c r="I89" i="23"/>
  <c r="F24" i="23" a="1"/>
  <c r="F24" i="23" s="1"/>
  <c r="O81" i="23"/>
  <c r="I242" i="23"/>
  <c r="I187" i="23"/>
  <c r="I208" i="23"/>
  <c r="P64" i="24"/>
  <c r="D14" i="24"/>
  <c r="P36" i="24"/>
  <c r="P37" i="24"/>
  <c r="O155" i="23"/>
  <c r="O72" i="23"/>
  <c r="M90" i="23"/>
  <c r="P48" i="24"/>
  <c r="P59" i="24"/>
  <c r="I183" i="23"/>
  <c r="M138" i="23"/>
  <c r="K90" i="23"/>
  <c r="P49" i="24"/>
  <c r="M93" i="23"/>
  <c r="I216" i="23"/>
  <c r="M199" i="23"/>
  <c r="M253" i="23"/>
  <c r="M77" i="23"/>
  <c r="I157" i="23"/>
  <c r="I250" i="23"/>
  <c r="I96" i="23"/>
  <c r="I84" i="23"/>
  <c r="P50" i="24"/>
  <c r="P69" i="24"/>
  <c r="P127" i="24"/>
  <c r="H88" i="26"/>
  <c r="I189" i="23"/>
  <c r="I233" i="23"/>
  <c r="O247" i="23"/>
  <c r="I247" i="23" s="1"/>
  <c r="P95" i="24"/>
  <c r="P83" i="24"/>
  <c r="Q62" i="10"/>
  <c r="P51" i="24"/>
  <c r="M188" i="23"/>
  <c r="I238" i="23"/>
  <c r="S38" i="10"/>
  <c r="Q38" i="10" s="1"/>
  <c r="I203" i="23"/>
  <c r="I226" i="23"/>
  <c r="P71" i="24"/>
  <c r="P80" i="24"/>
  <c r="P90" i="24"/>
  <c r="S45" i="10"/>
  <c r="Q45" i="10" s="1"/>
  <c r="I97" i="23"/>
  <c r="I83" i="23"/>
  <c r="O229" i="23"/>
  <c r="K134" i="23"/>
  <c r="P81" i="24"/>
  <c r="I194" i="23"/>
  <c r="K205" i="23"/>
  <c r="I225" i="23"/>
  <c r="M63" i="23"/>
  <c r="P109" i="24"/>
  <c r="I104" i="23"/>
  <c r="C10" i="24"/>
  <c r="P130" i="24"/>
  <c r="K200" i="23"/>
  <c r="AB83" i="10"/>
  <c r="AB84" i="10" s="1"/>
  <c r="AB127" i="10"/>
  <c r="AB128" i="10" s="1"/>
  <c r="E31" i="23" s="1"/>
  <c r="AB165" i="10"/>
  <c r="AB166" i="10" s="1"/>
  <c r="M29" i="23" s="1"/>
  <c r="M212" i="23"/>
  <c r="M24" i="23" a="1"/>
  <c r="M24" i="23" s="1"/>
  <c r="I80" i="23"/>
  <c r="P63" i="24"/>
  <c r="P121" i="24"/>
  <c r="I197" i="23"/>
  <c r="AB77" i="10"/>
  <c r="AB78" i="10" s="1"/>
  <c r="M72" i="23"/>
  <c r="O249" i="23"/>
  <c r="M95" i="23"/>
  <c r="K245" i="23"/>
  <c r="I73" i="23"/>
  <c r="E88" i="26"/>
  <c r="M195" i="23"/>
  <c r="I75" i="23"/>
  <c r="O159" i="23"/>
  <c r="I128" i="23"/>
  <c r="I163" i="23"/>
  <c r="Q39" i="10"/>
  <c r="Q60" i="10"/>
  <c r="Q58" i="10"/>
  <c r="Q51" i="10"/>
  <c r="I143" i="23"/>
  <c r="I136" i="23"/>
  <c r="L24" i="23" a="1"/>
  <c r="L24" i="23" s="1"/>
  <c r="F23" i="23" a="1"/>
  <c r="F23" i="23" s="1"/>
  <c r="K55" i="23"/>
  <c r="D23" i="23" a="1"/>
  <c r="D23" i="23" s="1"/>
  <c r="O140" i="23"/>
  <c r="I140" i="23" s="1"/>
  <c r="D24" i="23" a="1"/>
  <c r="D24" i="23" s="1"/>
  <c r="L23" i="23" a="1"/>
  <c r="L23" i="23" s="1"/>
  <c r="E24" i="23" a="1"/>
  <c r="E24" i="23" s="1"/>
  <c r="K67" i="23"/>
  <c r="D32" i="23"/>
  <c r="E32" i="23"/>
  <c r="F32" i="23"/>
  <c r="K148" i="23"/>
  <c r="K169" i="23"/>
  <c r="O134" i="23"/>
  <c r="O47" i="23"/>
  <c r="O45" i="23" s="1"/>
  <c r="K114" i="23"/>
  <c r="I117" i="23"/>
  <c r="M109" i="23"/>
  <c r="AC75" i="10"/>
  <c r="Q59" i="10"/>
  <c r="N30" i="23"/>
  <c r="M148" i="23"/>
  <c r="O169" i="23"/>
  <c r="O141" i="23"/>
  <c r="I154" i="23"/>
  <c r="I174" i="23"/>
  <c r="I135" i="23"/>
  <c r="M67" i="23"/>
  <c r="M169" i="23"/>
  <c r="O173" i="23"/>
  <c r="I142" i="23"/>
  <c r="I68" i="23"/>
  <c r="M134" i="23"/>
  <c r="K141" i="23"/>
  <c r="M32" i="23"/>
  <c r="C14" i="10"/>
  <c r="O166" i="23"/>
  <c r="Q52" i="10"/>
  <c r="Q43" i="10"/>
  <c r="L32" i="23"/>
  <c r="K173" i="23"/>
  <c r="M123" i="23"/>
  <c r="I126" i="23"/>
  <c r="D16" i="23" a="1"/>
  <c r="D16" i="23" s="1"/>
  <c r="O139" i="23"/>
  <c r="I139" i="23" s="1"/>
  <c r="I56" i="23"/>
  <c r="M145" i="23"/>
  <c r="M52" i="23"/>
  <c r="I153" i="23"/>
  <c r="D30" i="23"/>
  <c r="K162" i="23"/>
  <c r="M116" i="23"/>
  <c r="M114" i="23" s="1"/>
  <c r="I112" i="23"/>
  <c r="I170" i="23"/>
  <c r="I149" i="23"/>
  <c r="AC81" i="10"/>
  <c r="K131" i="23"/>
  <c r="O48" i="23"/>
  <c r="M152" i="23"/>
  <c r="K118" i="23"/>
  <c r="M141" i="23"/>
  <c r="I121" i="23"/>
  <c r="M71" i="23"/>
  <c r="I164" i="23"/>
  <c r="I110" i="23"/>
  <c r="I120" i="23"/>
  <c r="M162" i="23"/>
  <c r="X75" i="10"/>
  <c r="K138" i="23"/>
  <c r="L22" i="23" a="1"/>
  <c r="L22" i="23" s="1"/>
  <c r="L29" i="23"/>
  <c r="K145" i="23"/>
  <c r="B11" i="10"/>
  <c r="D17" i="23" a="1"/>
  <c r="D17" i="23" s="1"/>
  <c r="E22" i="23" a="1"/>
  <c r="E22" i="23" s="1"/>
  <c r="I132" i="23"/>
  <c r="M60" i="23"/>
  <c r="M59" i="23" s="1"/>
  <c r="I111" i="23"/>
  <c r="M55" i="23"/>
  <c r="I115" i="23"/>
  <c r="K127" i="23"/>
  <c r="F22" i="23" a="1"/>
  <c r="F22" i="23" s="1"/>
  <c r="M118" i="23"/>
  <c r="K109" i="23"/>
  <c r="K123" i="23"/>
  <c r="I150" i="23"/>
  <c r="O62" i="23"/>
  <c r="I49" i="23"/>
  <c r="L30" i="23"/>
  <c r="M173" i="23"/>
  <c r="I167" i="23"/>
  <c r="M166" i="23"/>
  <c r="O114" i="23"/>
  <c r="I147" i="23"/>
  <c r="K166" i="23"/>
  <c r="I168" i="23"/>
  <c r="O53" i="23"/>
  <c r="Q37" i="10"/>
  <c r="L31" i="23"/>
  <c r="Q54" i="10"/>
  <c r="Q71" i="10"/>
  <c r="Q73" i="10"/>
  <c r="I125" i="23"/>
  <c r="B8" i="10"/>
  <c r="Q55" i="10"/>
  <c r="I43" i="23"/>
  <c r="Q57" i="10"/>
  <c r="I175" i="23"/>
  <c r="O162" i="23"/>
  <c r="Q72" i="10"/>
  <c r="M31" i="23"/>
  <c r="Q70" i="10"/>
  <c r="Q68" i="10"/>
  <c r="O41" i="23"/>
  <c r="Q44" i="10"/>
  <c r="Q36" i="10"/>
  <c r="K53" i="23"/>
  <c r="K70" i="23"/>
  <c r="K60" i="23"/>
  <c r="E29" i="23"/>
  <c r="D31" i="23"/>
  <c r="Q69" i="10"/>
  <c r="O59" i="23"/>
  <c r="O145" i="23"/>
  <c r="X181" i="10"/>
  <c r="M48" i="23"/>
  <c r="B9" i="10"/>
  <c r="O55" i="23"/>
  <c r="F17" i="23" a="1"/>
  <c r="F17" i="23" s="1"/>
  <c r="O152" i="23"/>
  <c r="B10" i="10"/>
  <c r="N24" i="23" a="1"/>
  <c r="N24" i="23" s="1"/>
  <c r="N22" i="23" a="1"/>
  <c r="N22" i="23" s="1"/>
  <c r="Q49" i="10"/>
  <c r="E17" i="23" a="1"/>
  <c r="E17" i="23" s="1"/>
  <c r="E15" i="23" a="1"/>
  <c r="E15" i="23" s="1"/>
  <c r="Q50" i="10"/>
  <c r="N31" i="23"/>
  <c r="N32" i="23"/>
  <c r="AD75" i="10"/>
  <c r="M30" i="23"/>
  <c r="AC125" i="10"/>
  <c r="E30" i="23" s="1"/>
  <c r="P68" i="24"/>
  <c r="C13" i="24"/>
  <c r="B7" i="10"/>
  <c r="O67" i="23"/>
  <c r="O124" i="23"/>
  <c r="O123" i="23" s="1"/>
  <c r="O118" i="23"/>
  <c r="Q47" i="10"/>
  <c r="O65" i="23"/>
  <c r="K41" i="23"/>
  <c r="C14" i="24"/>
  <c r="Z93" i="10"/>
  <c r="Y93" i="10"/>
  <c r="Y75" i="10"/>
  <c r="O192" i="23"/>
  <c r="I193" i="23"/>
  <c r="F15" i="23" a="1"/>
  <c r="F15" i="23" s="1"/>
  <c r="K54" i="23"/>
  <c r="I54" i="23" s="1"/>
  <c r="I50" i="23"/>
  <c r="K48" i="23"/>
  <c r="Q35" i="10"/>
  <c r="M22" i="23" a="1"/>
  <c r="M22" i="23" s="1"/>
  <c r="M41" i="23"/>
  <c r="K62" i="23"/>
  <c r="Q46" i="10"/>
  <c r="C6" i="24"/>
  <c r="I100" i="23"/>
  <c r="Q48" i="10"/>
  <c r="AA75" i="10"/>
  <c r="O131" i="23"/>
  <c r="O127" i="23"/>
  <c r="D7" i="24"/>
  <c r="P125" i="24"/>
  <c r="F6" i="26"/>
  <c r="I161" i="23"/>
  <c r="AF75" i="10"/>
  <c r="K61" i="23"/>
  <c r="I57" i="23"/>
  <c r="C7" i="24"/>
  <c r="M231" i="23"/>
  <c r="M237" i="23"/>
  <c r="I146" i="23"/>
  <c r="I42" i="23"/>
  <c r="I206" i="23"/>
  <c r="M62" i="23" l="1"/>
  <c r="M39" i="23"/>
  <c r="M37" i="23"/>
  <c r="M45" i="23"/>
  <c r="I40" i="23"/>
  <c r="I71" i="23"/>
  <c r="I38" i="23"/>
  <c r="D5" i="22"/>
  <c r="I192" i="23"/>
  <c r="I99" i="23"/>
  <c r="C7" i="22"/>
  <c r="I224" i="23"/>
  <c r="I249" i="23"/>
  <c r="K253" i="23"/>
  <c r="I240" i="23"/>
  <c r="O245" i="23"/>
  <c r="I231" i="23"/>
  <c r="I217" i="23"/>
  <c r="I223" i="23"/>
  <c r="M221" i="23"/>
  <c r="I212" i="23"/>
  <c r="I207" i="23"/>
  <c r="I210" i="23"/>
  <c r="I202" i="23"/>
  <c r="I205" i="23"/>
  <c r="I195" i="23"/>
  <c r="I200" i="23"/>
  <c r="K199" i="23"/>
  <c r="I188" i="23"/>
  <c r="I181" i="23"/>
  <c r="I176" i="23"/>
  <c r="I155" i="23"/>
  <c r="D8" i="22"/>
  <c r="I102" i="23"/>
  <c r="I106" i="23"/>
  <c r="I95" i="23"/>
  <c r="I90" i="23"/>
  <c r="I81" i="23"/>
  <c r="I86" i="23"/>
  <c r="I72" i="23"/>
  <c r="E7" i="22"/>
  <c r="D6" i="22"/>
  <c r="C6" i="22"/>
  <c r="E8" i="22"/>
  <c r="C5" i="22"/>
  <c r="C8" i="22"/>
  <c r="D7" i="22"/>
  <c r="E6" i="22"/>
  <c r="T39" i="27"/>
  <c r="T38" i="27" s="1"/>
  <c r="B6" i="10"/>
  <c r="AE165" i="10"/>
  <c r="T53" i="10"/>
  <c r="AE77" i="10"/>
  <c r="AE74" i="10"/>
  <c r="T74" i="10" s="1"/>
  <c r="M127" i="23"/>
  <c r="M133" i="23"/>
  <c r="M131" i="23" s="1"/>
  <c r="D22" i="23" a="1"/>
  <c r="D22" i="23" s="1"/>
  <c r="D21" i="23" s="1"/>
  <c r="Z75" i="10"/>
  <c r="D15" i="23" a="1"/>
  <c r="D15" i="23" s="1"/>
  <c r="D14" i="23" s="1"/>
  <c r="I186" i="23"/>
  <c r="I185" i="23" s="1"/>
  <c r="I94" i="23"/>
  <c r="I93" i="23" s="1"/>
  <c r="I78" i="23"/>
  <c r="I77" i="23" s="1"/>
  <c r="S74" i="10"/>
  <c r="I116" i="23"/>
  <c r="I114" i="23" s="1"/>
  <c r="C12" i="10"/>
  <c r="B14" i="24"/>
  <c r="D12" i="24"/>
  <c r="I215" i="23"/>
  <c r="I141" i="23"/>
  <c r="B13" i="10"/>
  <c r="I180" i="23"/>
  <c r="I179" i="23" s="1"/>
  <c r="I222" i="23"/>
  <c r="I55" i="23"/>
  <c r="I160" i="23"/>
  <c r="I159" i="23" s="1"/>
  <c r="D5" i="24"/>
  <c r="I246" i="23"/>
  <c r="I245" i="23" s="1"/>
  <c r="I254" i="23"/>
  <c r="I253" i="23" s="1"/>
  <c r="D14" i="10"/>
  <c r="D12" i="10" s="1"/>
  <c r="C5" i="10"/>
  <c r="J4" i="10"/>
  <c r="B10" i="24"/>
  <c r="I166" i="23"/>
  <c r="M66" i="23"/>
  <c r="I66" i="23" s="1"/>
  <c r="I65" i="23" s="1"/>
  <c r="E23" i="23" a="1"/>
  <c r="E23" i="23" s="1"/>
  <c r="C23" i="23" s="1"/>
  <c r="K24" i="23"/>
  <c r="C31" i="23"/>
  <c r="I63" i="23"/>
  <c r="I62" i="23" s="1"/>
  <c r="M70" i="23"/>
  <c r="C24" i="23"/>
  <c r="I127" i="23"/>
  <c r="F28" i="23"/>
  <c r="M23" i="23" a="1"/>
  <c r="M23" i="23" s="1"/>
  <c r="C32" i="23"/>
  <c r="F21" i="23"/>
  <c r="O228" i="23"/>
  <c r="I229" i="23"/>
  <c r="I228" i="23" s="1"/>
  <c r="AB75" i="10"/>
  <c r="E16" i="23" a="1"/>
  <c r="E16" i="23" s="1"/>
  <c r="E14" i="23" s="1"/>
  <c r="K32" i="23"/>
  <c r="I67" i="23"/>
  <c r="L21" i="23"/>
  <c r="I47" i="23"/>
  <c r="I45" i="23" s="1"/>
  <c r="I145" i="23"/>
  <c r="L28" i="23"/>
  <c r="I134" i="23"/>
  <c r="I60" i="23"/>
  <c r="I48" i="23"/>
  <c r="K30" i="23"/>
  <c r="I169" i="23"/>
  <c r="O52" i="23"/>
  <c r="I148" i="23"/>
  <c r="I4" i="10"/>
  <c r="I118" i="23"/>
  <c r="O138" i="23"/>
  <c r="I162" i="23"/>
  <c r="D28" i="23"/>
  <c r="I173" i="23"/>
  <c r="I109" i="23"/>
  <c r="K4" i="10"/>
  <c r="I53" i="23"/>
  <c r="I52" i="23" s="1"/>
  <c r="I138" i="23"/>
  <c r="K31" i="23"/>
  <c r="M28" i="23"/>
  <c r="C29" i="23"/>
  <c r="K52" i="23"/>
  <c r="C17" i="23"/>
  <c r="K22" i="23"/>
  <c r="C30" i="23"/>
  <c r="E28" i="23"/>
  <c r="B7" i="24"/>
  <c r="I124" i="23"/>
  <c r="I123" i="23" s="1"/>
  <c r="B6" i="24"/>
  <c r="C5" i="24"/>
  <c r="O70" i="23"/>
  <c r="M236" i="23"/>
  <c r="I237" i="23"/>
  <c r="I236" i="23" s="1"/>
  <c r="K59" i="23"/>
  <c r="I61" i="23"/>
  <c r="I41" i="23"/>
  <c r="K152" i="23"/>
  <c r="I152" i="23"/>
  <c r="K65" i="23"/>
  <c r="B13" i="24"/>
  <c r="C12" i="24"/>
  <c r="I39" i="23" l="1"/>
  <c r="I37" i="23" s="1"/>
  <c r="B8" i="22"/>
  <c r="I221" i="23"/>
  <c r="B6" i="22"/>
  <c r="B7" i="22"/>
  <c r="I199" i="23"/>
  <c r="I133" i="23"/>
  <c r="I131" i="23" s="1"/>
  <c r="AE78" i="10"/>
  <c r="AE75" i="10"/>
  <c r="F16" i="23" a="1"/>
  <c r="F16" i="23" s="1"/>
  <c r="F14" i="23" s="1"/>
  <c r="C14" i="23" s="1"/>
  <c r="Q74" i="10"/>
  <c r="Q53" i="10"/>
  <c r="H4" i="10" s="1"/>
  <c r="G4" i="10" s="1"/>
  <c r="E14" i="10"/>
  <c r="E12" i="10" s="1"/>
  <c r="E4" i="10" s="1"/>
  <c r="AE166" i="10"/>
  <c r="N29" i="23" s="1"/>
  <c r="E5" i="22" s="1"/>
  <c r="N23" i="23" a="1"/>
  <c r="N23" i="23" s="1"/>
  <c r="N21" i="23" s="1"/>
  <c r="C22" i="23"/>
  <c r="C15" i="23"/>
  <c r="B12" i="24"/>
  <c r="C4" i="10"/>
  <c r="B5" i="10"/>
  <c r="D4" i="24"/>
  <c r="I70" i="23"/>
  <c r="C9" i="22"/>
  <c r="E21" i="23"/>
  <c r="C21" i="23" s="1"/>
  <c r="M65" i="23"/>
  <c r="D4" i="10"/>
  <c r="M21" i="23"/>
  <c r="I59" i="23"/>
  <c r="C28" i="23"/>
  <c r="D9" i="22"/>
  <c r="B5" i="24"/>
  <c r="C4" i="24"/>
  <c r="E9" i="22" l="1"/>
  <c r="B5" i="22"/>
  <c r="B9" i="22" s="1"/>
  <c r="C16" i="23"/>
  <c r="K29" i="23"/>
  <c r="N28" i="23"/>
  <c r="K28" i="23" s="1"/>
  <c r="B14" i="10"/>
  <c r="B12" i="10"/>
  <c r="K21" i="23"/>
  <c r="K23" i="23"/>
  <c r="B4" i="10"/>
  <c r="B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marje.pihl@tehik.ee</author>
  </authors>
  <commentList>
    <comment ref="B94" authorId="0" shapeId="0" xr:uid="{FC8EB906-C6DE-4C2B-AA68-31F80BA5EA03}">
      <text>
        <r>
          <rPr>
            <sz val="11"/>
            <color theme="1"/>
            <rFont val="Calibri"/>
            <family val="2"/>
            <charset val="186"/>
            <scheme val="minor"/>
          </rPr>
          <t>automatiseerine</t>
        </r>
      </text>
    </comment>
    <comment ref="B95" authorId="0" shapeId="0" xr:uid="{A9448E22-0A28-49C2-A24B-41D6301EEB94}">
      <text>
        <r>
          <rPr>
            <sz val="11"/>
            <color theme="1"/>
            <rFont val="Calibri"/>
            <family val="2"/>
            <charset val="186"/>
            <scheme val="minor"/>
          </rPr>
          <t>automatiseerine</t>
        </r>
      </text>
    </comment>
    <comment ref="B96" authorId="0" shapeId="0" xr:uid="{EDFDDAB5-E056-4913-9CD8-8A3E559BF182}">
      <text>
        <r>
          <rPr>
            <sz val="11"/>
            <color theme="1"/>
            <rFont val="Calibri"/>
            <family val="2"/>
            <charset val="186"/>
            <scheme val="minor"/>
          </rPr>
          <t>automatiseerine</t>
        </r>
      </text>
    </comment>
    <comment ref="B97" authorId="0" shapeId="0" xr:uid="{DE203314-C9B5-4322-B6B6-E7891B864FCB}">
      <text>
        <r>
          <rPr>
            <sz val="11"/>
            <color theme="1"/>
            <rFont val="Calibri"/>
            <family val="2"/>
            <charset val="186"/>
            <scheme val="minor"/>
          </rPr>
          <t>automatiseerine</t>
        </r>
      </text>
    </comment>
    <comment ref="B116" authorId="0" shapeId="0" xr:uid="{8F22336A-2969-4707-9A21-570B197367A5}">
      <text>
        <r>
          <rPr>
            <sz val="11"/>
            <color theme="1"/>
            <rFont val="Calibri"/>
            <family val="2"/>
            <charset val="186"/>
            <scheme val="minor"/>
          </rPr>
          <t>automatiseerine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marje.pihl@tehik.ee</author>
  </authors>
  <commentList>
    <comment ref="B64" authorId="0" shapeId="0" xr:uid="{DC782023-D126-4CAC-9F4B-E4480BD22B15}">
      <text>
        <r>
          <rPr>
            <sz val="11"/>
            <color theme="1"/>
            <rFont val="Calibri"/>
            <family val="2"/>
            <charset val="186"/>
            <scheme val="minor"/>
          </rPr>
          <t>automatiseerine</t>
        </r>
      </text>
    </comment>
    <comment ref="B66" authorId="0" shapeId="0" xr:uid="{CD5EDD7F-5074-430A-B546-49F1F726D3F8}">
      <text>
        <r>
          <rPr>
            <sz val="11"/>
            <color theme="1"/>
            <rFont val="Calibri"/>
            <family val="2"/>
            <charset val="186"/>
            <scheme val="minor"/>
          </rPr>
          <t>automatiseerine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<sst xmlns="http://schemas.openxmlformats.org/spreadsheetml/2006/main" count="3263" uniqueCount="733">
  <si>
    <t>Valdkondlik digipööre</t>
  </si>
  <si>
    <t>Otsus</t>
  </si>
  <si>
    <t xml:space="preserve">Elluviija: </t>
  </si>
  <si>
    <t>Sotsiaalministeerium</t>
  </si>
  <si>
    <t>Valdkondliku digipöörde maksumus kokku (2023-2028) meetme nelja tegevuse lõikes, arvestdes kõiki rahasutsallikaid.</t>
  </si>
  <si>
    <t>ok- rahastada, nok- mitte rahastada, ?-otsus lahtine</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</si>
  <si>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</si>
  <si>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</si>
  <si>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</si>
  <si>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</si>
  <si>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</si>
  <si>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</si>
  <si>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</si>
  <si>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</si>
  <si>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</si>
  <si>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</si>
  <si>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</si>
  <si>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</si>
  <si>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</si>
  <si>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</si>
  <si>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</si>
  <si>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</si>
  <si>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</si>
  <si>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</si>
  <si>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</si>
  <si>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</si>
  <si>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</si>
  <si>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</si>
  <si>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</si>
  <si>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</si>
  <si>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</si>
  <si>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</si>
  <si>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</si>
  <si>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</si>
  <si>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</si>
  <si>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</si>
  <si>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</si>
  <si>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</si>
  <si>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</si>
  <si>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</si>
  <si>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</si>
  <si>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</si>
  <si>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</si>
  <si>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</si>
  <si>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</si>
  <si>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loetud arendusalgatusi</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</si>
  <si>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</si>
  <si>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</si>
  <si>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</si>
  <si>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Otseselt rahastus: SoM, TEHIK, PERH - lisaks kaudselt SKA, RA, TA, TAI, TÜK</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</si>
  <si>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</si>
  <si>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</si>
  <si>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</si>
  <si>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</si>
  <si>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</si>
  <si>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</si>
  <si>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</si>
  <si>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</si>
  <si>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</si>
  <si>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</si>
  <si>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</si>
  <si>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</si>
  <si>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</si>
  <si>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</si>
  <si>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</si>
  <si>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</si>
  <si>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</si>
  <si>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</si>
  <si>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</si>
  <si>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</si>
  <si>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</si>
  <si>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</si>
  <si>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</si>
  <si>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r>
      <t xml:space="preserve">Kalkulatsioon ja  allika põhjendus
</t>
    </r>
    <r>
      <rPr>
        <sz val="11"/>
        <rFont val="Calibri"/>
        <family val="2"/>
        <scheme val="minor"/>
      </rPr>
      <t>Võimalusel kirjeldada siin lahtris, kui on põhjalikum tabeli kujul kalkulatsioon, siis see tuua välja eraldi Exceli lehel ja siin vastava rea lahtris sellele viidata.</t>
    </r>
  </si>
  <si>
    <t>Tegevuse jätkusuutlikkuse kulu</t>
  </si>
  <si>
    <t>Kommentaar</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</si>
  <si>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</si>
  <si>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</si>
  <si>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</si>
  <si>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</si>
  <si>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</si>
  <si>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</si>
  <si>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</si>
  <si>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</si>
  <si>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</si>
  <si>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</si>
  <si>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</si>
  <si>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</si>
  <si>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</si>
  <si>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</si>
  <si>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</si>
  <si>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</si>
  <si>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</si>
  <si>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</si>
  <si>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</si>
  <si>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</si>
  <si>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</si>
  <si>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t>
    </r>
    <r>
      <rPr>
        <i/>
        <sz val="11"/>
        <rFont val="Calibri"/>
        <family val="2"/>
        <charset val="186"/>
      </rPr>
      <t>ga mis peab minema baasi, või on tegemist</t>
    </r>
    <r>
      <rPr>
        <b/>
        <i/>
        <sz val="11"/>
        <rFont val="Calibri"/>
        <family val="2"/>
        <charset val="186"/>
      </rPr>
      <t xml:space="preserve"> ühekordse kulu</t>
    </r>
    <r>
      <rPr>
        <i/>
        <sz val="11"/>
        <rFont val="Calibri"/>
        <family val="2"/>
        <charset val="186"/>
      </rPr>
      <t>ga konkrteetse(te)l aasta(te)l.</t>
    </r>
  </si>
  <si>
    <t>SOM</t>
  </si>
  <si>
    <t>TEHIK/SKA</t>
  </si>
  <si>
    <t>Marika Kislenko</t>
  </si>
  <si>
    <t>I: Digiriik</t>
  </si>
  <si>
    <t>1.1.1. Üleminek sündmuspõhistele ja proaktiivsetele teenustele</t>
  </si>
  <si>
    <t>I: Infotehnoloogiliste lahenduste väljatöötamine ja arendamine</t>
  </si>
  <si>
    <t>Isikustatud sotsiaalmaksu alusel arvutatavate komponentide arv on ajas kasvanud ning sellest lähtuvalt pensioni ning teiste sotsiaalvaldkonna hüvitiste  arvutamise keerukus suurenenud. Täna puudub inimesel kasutajasõbralik iseteeninduse vaade isikustatud sotsiaalmaksu andmete vaatamiseks ning sellest tulenevalt ka planeerida oma valikuid</t>
  </si>
  <si>
    <t>Isikustatud sotsiaalmaksu analüüs</t>
  </si>
  <si>
    <t>2024 aastal valmib eelanalüüs mis on sisendiks 2024 arendusele. 2025 valmib arendus</t>
  </si>
  <si>
    <t xml:space="preserve">ok </t>
  </si>
  <si>
    <t>SAA1</t>
  </si>
  <si>
    <t>SF 21-27 (taotletav raha)</t>
  </si>
  <si>
    <t>vt SAA1</t>
  </si>
  <si>
    <t>5. Tegevus, mis ei vaja jätkusuutlikkuse kulusid.</t>
  </si>
  <si>
    <t>Isikustatud sotsiaalmaksu arendus</t>
  </si>
  <si>
    <t>2024 aastal arendus</t>
  </si>
  <si>
    <t>ok</t>
  </si>
  <si>
    <t>arhitektuuripaneel</t>
  </si>
  <si>
    <t>Jätkusuutlikkuskulud on tagatud 2023 RES otsusega, jätkusuutlikkuskulud on esitatud  2023+ Digipöörde Detailse plaani lehel SAA1</t>
  </si>
  <si>
    <t>Reet Tuberg</t>
  </si>
  <si>
    <t>1.1.3. Inimkeskne Digiriik</t>
  </si>
  <si>
    <t xml:space="preserve">Riiklikes registrites hoitavate isikute kontaktandmete puudulik kvaliteet takistab teenuste isikuni jõudmist ja proaktiivsuse põhimõtete elluviimist. </t>
  </si>
  <si>
    <t>GOV SSO arendus</t>
  </si>
  <si>
    <t>SAA2</t>
  </si>
  <si>
    <t>vt SAA2</t>
  </si>
  <si>
    <t>Jätkusuutlikkuskulud on tagatud 2023 RES otsusega, jätkusuutlikkuskulud on esitatud  2023+ Digipöörde Detailse plaani lehel SAA2</t>
  </si>
  <si>
    <t>TEHIK</t>
  </si>
  <si>
    <t>Tanel Tera</t>
  </si>
  <si>
    <t>1.2.7. Avaliku sektori digimuutuste võimendamine</t>
  </si>
  <si>
    <t>III: teadlikkuse tõstmine</t>
  </si>
  <si>
    <t xml:space="preserve">protsesside optimeerimine, uute lähenemiste rakendamine arendus, haldus ja hooldusprotsessides. </t>
  </si>
  <si>
    <t>agile coach</t>
  </si>
  <si>
    <t>On värvatud agile coach kes toetab TEHIKu sisemiste protsesside optimeerimisel ja uute lähenemise juurutamisel arendusetappides.</t>
  </si>
  <si>
    <t>eeldatav brutopalk 4300, 0,5 ametikohta</t>
  </si>
  <si>
    <t>4. Tegevus, mis vajab jätkusuutlikkuse kulusid, aga neid pole välja arvutatud ja eraldi real välja toodud</t>
  </si>
  <si>
    <t>Digipöörde lõpul hinnatakse tegevuse jätkumise vajadust</t>
  </si>
  <si>
    <t>TEHIK/SOM</t>
  </si>
  <si>
    <t>Juta Urbalu</t>
  </si>
  <si>
    <t>kompetentside kasvatamine läbi koolituste, et toetada teenuspõhist juhtimist, protsesse ja digipöörde elluviimist.</t>
  </si>
  <si>
    <t>koolituskulud:Teenuste juhid, ärianalüütikud, poliitikakujundajad ja TEHIK teenistujad</t>
  </si>
  <si>
    <t>Koostatud on lähiaastate koolitusplaan, alustatud on esmaste digipädevusi tõstvate ning teenuspõhist juhtimist toetavates koolitusega. Jagatud on info riigiüleste kesksete koolitusvõimaluste kohta (nt MKM koolitused)</t>
  </si>
  <si>
    <t>IV: muu digipöördega seotud otsene kulu</t>
  </si>
  <si>
    <t>Laste ja perede toetamine</t>
  </si>
  <si>
    <t>Muu rahastus</t>
  </si>
  <si>
    <t>3. Tegevus, mis vajab jätkusuutlikkuse kulusid ja need on eraldi real välja toodud</t>
  </si>
  <si>
    <t>Sotsiaalkaitsesüsteemide ajakohastamist toetavate infosüsteemide arendused</t>
  </si>
  <si>
    <t>Õigusaktide ja baaseelarvesse eraldatud lisavahendid </t>
  </si>
  <si>
    <t>Baaseelarve</t>
  </si>
  <si>
    <t>TERVISE VALDKOND</t>
  </si>
  <si>
    <t>TEHIK/ Terviseamet</t>
  </si>
  <si>
    <t xml:space="preserve">Kerstin-Gertrud Kärblane </t>
  </si>
  <si>
    <t>1.2.2. Andmepõhine riigivalitsemine ja andmete taaskasutus</t>
  </si>
  <si>
    <t>Terviseameti teenuste värav</t>
  </si>
  <si>
    <t>Tuua kõik keskkonnatervisega seotud teenused ühte infosüsteemi, mis täna on erinevates vanenenud andmekogudes ja ei vasta riigi ühtsetele nõuetele. Analüüs, sh aruandluse ja avaandmete analüüs. Prototüüp, sh teenuse disain ja sihtgruppidega testimine</t>
  </si>
  <si>
    <t>Terviseteadlik kodanik/ Keskkonnatervise infosüsteem</t>
  </si>
  <si>
    <t>2024. a lõpuks valmib analüüs.</t>
  </si>
  <si>
    <t>TAA1</t>
  </si>
  <si>
    <t>Äripaneel</t>
  </si>
  <si>
    <t>vt TAA1</t>
  </si>
  <si>
    <t>1.2.4. Keskselt osutatud IT-alusteenused</t>
  </si>
  <si>
    <t xml:space="preserve">Arendustöödes taaskasutatakse juba olemasolevaid komponente (VEERA kujundus, mikroteenuste arhitektuur ja selle komponendid) </t>
  </si>
  <si>
    <t>2024 - 2026, sh moodulite arendus, andmete migratsioon ja liidesed erinevate süsteemidega</t>
  </si>
  <si>
    <t>Arhitektuuripaneel</t>
  </si>
  <si>
    <t>Täpsem sisu tuleb analüüsisit</t>
  </si>
  <si>
    <t>Jätkusuutlikkuskulud on esitatud 2023+ Digipöörde Detailse plaani lehel TAA1. Jätkusuutlikkuskulud kaetakse valitsemisala eelarvest sisemise kokkuhoiu tulemusel.</t>
  </si>
  <si>
    <t>1.2.1. Avalike teenuste juhtimise ja kasutajakesksuse juurutamine</t>
  </si>
  <si>
    <t>Rahulolu mõõtmine (kasutajad, ametid, kodanikud jne)</t>
  </si>
  <si>
    <t>2026 ja 2029</t>
  </si>
  <si>
    <t>nok</t>
  </si>
  <si>
    <t>Jätkuarendused - 5G teemad, analüüs ning arendus</t>
  </si>
  <si>
    <t>Nakkushaiguste infosüsteem</t>
  </si>
  <si>
    <t xml:space="preserve">Ärianalüüs teostatud 2022 aastal. Nakkushaiguste infosüsteem (NAKIS) ei vasta Terviseameti (TA) ega ka partnerite tänastele vajadustele ja turvalisuse nõuetele ning ei ole kasutusel olevate registritega kooskõlas. </t>
  </si>
  <si>
    <t>Uus nakkushaiguste infosüsteem</t>
  </si>
  <si>
    <t>2023 lõpp/2024 I kv lõpuks on teostatud hange ja leitud on partner detailanalüüsi ja arenduste läbiviimiseks. Projekti lõpuks on Terviseametil uus NAKIS infosüsteem ja loodud on kõik vajalikud liidesed teiste infosüsteemidega. 2024.a valmib detailanalüüs, arendustega alustame juba varem paralleelselt. </t>
  </si>
  <si>
    <t>TAA2</t>
  </si>
  <si>
    <t>Jätkusuutlikkuskulud on esitatud 2023+ Digipöörde Detailse plaani lehel TAA2. Jätkusuutlikkuskulud kaetakse valitsemisala eelarvest sisemise kokkuhoiu tulemusel.</t>
  </si>
  <si>
    <t>Meditsiiniseadmete andmekogu</t>
  </si>
  <si>
    <t>Arendus, sh moodulite arendus, liidesed teiste süsteemidega, andmete migratsioon</t>
  </si>
  <si>
    <t>Uue põlvkonna meditsiiniseadmete ja abivahendite andmekogu (MSA) </t>
  </si>
  <si>
    <t>2023 lõpp /2024 aasta Ikv viiakse läbi hange partneri leidmiseks ja võimalusel alustatakse arendustega. 2024 - 2026 arendus </t>
  </si>
  <si>
    <t>TAA3</t>
  </si>
  <si>
    <t>vt TAA2</t>
  </si>
  <si>
    <t>TAI</t>
  </si>
  <si>
    <t>TAI/Jane Idavain</t>
  </si>
  <si>
    <t>Riikliku tervishoiustatistika tegemine</t>
  </si>
  <si>
    <t xml:space="preserve">Tervisestatistilisi andmeid kogutakse hetkel agregeeritud aruannetega andmete kogumisplatvormi A-veeb kaudu. Eesmärk on vähendada tervishoiuteenuse osutajate andmete esitamise koormust ning võtta kasutusele maksimaalselt tervise infosüsteemi individuaalsed andmed. Senine agregeeritud andmete kogumise platvorm A-veeb suletakse. </t>
  </si>
  <si>
    <t>Tervisestatistika andmekogumisel uuele metoodikale üleminek (vajab peale ärianalüüsi summa ja skoobi täpsustust)</t>
  </si>
  <si>
    <t>2024. a tulemuseks on ärianalüüsi valmimine (TAI rahastab).
2024. a jooksul valmib detailne arendusprojekti plaan ja alustatakse hanke läbiviimist. 
2025. - 2026. a arendatakse välja maksimaalselt parim lahendus TIS andmete kasutusele võtmiseks tervisestatistika tegemisel. Alates andmekvaliteedi tagamisest kuni andmevoogude liikumiseni TEHIK-TAI suunal. Paralleelselt testitakse arenduse toimivust ja 
2027. a on arenduse </t>
  </si>
  <si>
    <t>TAA5</t>
  </si>
  <si>
    <t>vt TAA3</t>
  </si>
  <si>
    <t>Jätkusuutlikkuskulud on esitatud 2023+ Digipöörde Detailse plaani lehel TAA3. Jätkusuutlikkuskulud kaetakse valitsemisala eelarvest sisemise kokkuhoiu tulemusel.</t>
  </si>
  <si>
    <t>Ravimiamet</t>
  </si>
  <si>
    <t>Toomas Silla</t>
  </si>
  <si>
    <t>Ravimiameti hallatavaid andmeid kasutavad Eestis apteekrite ja ravimite hulgimüüjate infosüsteemid, meditsiinitöötajate infosüsteemid. Osaliselt ei arvesta kasutusel olevad süsteemid aga hetkel kaasaegsete andmestandarditega ega ole tehniliselt ajakohased.</t>
  </si>
  <si>
    <t xml:space="preserve">Ravimiameti analüüsilahenduse loomine </t>
  </si>
  <si>
    <t>2024 suvi hange arenduspartneri leidmiseks ja algab ärianalüüs, IV kvartalis algab paralleelselt ka süsteemianalüüs ja arendus
Ravimiameti hallatavate ravimite kohta adekvaatse, ajakohase info kättesaadavuse parandamine kodanikele, tervishoiutöötajatele ja otsustajatele, mis toetaks ravimite efektiivset käsitlemist tervishoiusüsteemi(de)s . - Alameesmärgiks on Ravimiameti poolt hallatavate ravimeid puudutavate andmestike ja nende andmestike haldusprotsesside korrastus
Alameesmärgiks on andmevahetussüsteemide eelduste loomine Ravimiameti ja teiste tervisevaldkonnas tegutsevate osapoolte vahel (nt Tervisekassa, haiglad, perearsti keskused, jms), tagamaks Ravimiameti andmestike vastavust kaasaegsetele standarditele
Alameesmärgiks on tagada andmekogude vaheline andmevahetus, sh tarbime andmeid selle allikast ja ei dubleeri andmeid.
Ravimite hulgimüügistatistikat puudutav andmestik on viidud andmeaita ja kasutusele on võetud analüüsilahendus.  2025 aasta lõpuks on planeeritud, et on 
-	olemas analüüsid uue lahenduse kavandina
-	rakendatud automatiseeritud kontrolltoimingud andmekvaliteedi tagamiseks
-	uuendatud andmekorjeprotsess</t>
  </si>
  <si>
    <t>TAA6</t>
  </si>
  <si>
    <t>vt TAA4</t>
  </si>
  <si>
    <t>Jätkusuutlikkuskulud on esitatud 2023+ Digipöörde Detailse plaani lehel TAA4. Jätkusuutlikkuskulud kaetakse valitsemisala eelarvest sisemise kokkuhoiu tulemusel.</t>
  </si>
  <si>
    <t>Mitmed seadusest tulenevad töölõigud ei ole Ravimiametis hetkel digitaalselt rahuldavalt toetatud, ajakulukad ning piiratud määral läbipaistvad. Kasutusel olev lahendus on tehniliselt vananenud</t>
  </si>
  <si>
    <t xml:space="preserve">Ravimiameti ravimitega seonduvate menetlusprotsesside ühtlustamine ja uuendamine  </t>
  </si>
  <si>
    <t xml:space="preserve">2024 I kvartal hange arenduspartneri leidmiseks , 2024 III kvartal algab ärianalüüs, süsteemianalüüs. ja arendus. 
Ravimiameti ravimitega seonduvate menetlusprotsesside ühtlustamine ja uuendamine . 2025 aasta lõpuks on planeeritud, et Ravimiameti infosüsteemi Samtrack 2 on 
-	loodud/integreeritud funktsionaalsusi, mis oleks kooskõlas Samtrack 2 loogikaga ja toetavad Ravimiameti maaletoomislubade, müügiloata ravimite ja narkootiliste ja psühhotroopsete ravimite menetlust ning eriluba nõudvate kaupade ja ravimite ning ravimite tarneraskuste toiminguid, mida hetkel teostatakse vananenud infosüsteemide toel. </t>
  </si>
  <si>
    <t>TAA7</t>
  </si>
  <si>
    <t>vt TAA7</t>
  </si>
  <si>
    <t>Jätkusuutlikkuskulud on esitatud 2023+ Digipöörde Detailse plaani lehel TAA7. Jätkusuutlikkuskulud kaetakse valitsemisala eelarvest sisemise kokkuhoiu tulemusel.</t>
  </si>
  <si>
    <t>Õigusaktide lisavahendid tervisevaldkonnas</t>
  </si>
  <si>
    <t>Tervisevaldkonna lisarahastus (TerK) - TIS/Uptis teenuste arendused</t>
  </si>
  <si>
    <t>Allan Brant</t>
  </si>
  <si>
    <t>1.1.4. Roheline digiriik</t>
  </si>
  <si>
    <t xml:space="preserve">Tänane vereteenistuse infosüsteem (EVI) on vananenud (1995), puudub andmevahetus 4 verekeskuse vahel ja teiste riiklike infosüsteemidega. Infosüsteem ei toimi verevalvsuse operatiivse rakendusena, sest veretoote elektrooniline jälgitavus katkeb raviasutustes. </t>
  </si>
  <si>
    <t>Üleriigiline vere infosüsteem</t>
  </si>
  <si>
    <t>99% paberivaba veretoodete tootmise, uuringute, tellimise ja transfusiooni käitlus, mis viib liigse paberikulu ja arhiveerimisvajaduse nulli lähedale
Kaob ära vajadus infot käsitsi süsteemi lisada, ehk saavutatakse sääst aastas 2073 töötundi ehk ligi 60 500€
Tagatud doonorite ja patsientide uuringute ja andmete kättesaadavus kõikides verekabinettides/-keskustes.
Toimiv aruandluse ja statistika moodul, mille kaudu on tagatud vein-to-vein jälgitavus.
Arendusprojekt panustab avalike teenuste osutamist toetavate kesksete lahenduste riigiülene juurutamisse - süsteemi kaudu hakkab info patsiendi uuringute kohta tervise infosüsteemi ja rakendatakse andmejälgija
TÜK LIS (labori infosüsteem) on liidestatud
Peale projekti edukat juurutamist liituvad süsteemiga peale PERH-i ja TÜK-i ka Ida-Viru Keskhaigla ja Pärnu Haigla verekeskused.</t>
  </si>
  <si>
    <t>TAA8</t>
  </si>
  <si>
    <t>ei vaja paneeli</t>
  </si>
  <si>
    <t>Jätkusuutlikkuskulud on esitatud 2023+ Digipöörde Detailse plaani lehel TAA8. Jätkusuutlikkulud on tagatud PERH eelarvest</t>
  </si>
  <si>
    <t>Tervisevaldkonna e-teenuste juhtimine on killustunud, mistõttu on oht teenuste omavaheliseks väheseks kooskõlaks ning ressursi ebaefektiivseks kasutamiseks ja dubleerimiseks.</t>
  </si>
  <si>
    <t>Tervisevaldkonnas teenuspõhise juhtimise rakendamine, tervise - ja sotsiaalvaldkonna intergreerimine, e-tervise valdkonna juhtimine</t>
  </si>
  <si>
    <t xml:space="preserve">2024 ja 2025 aastal on kinnitatud tervisevalkonna poliitikavaldkonnad ning rakendatud teenuspõhine juhtimine tervikuna. Alustatud on süsteemse kliendikogemuse mõõtmisega, loodud on teenuspõhised tulemusindikaatorid. Tehtud on analüüs ja ettepanekud sotsiaal- ja tervisevaldkonna andmete integratsiooniks. SoM VA on tervikuna toetatud teenuspõhisele juhtimisele üleminekul. </t>
  </si>
  <si>
    <t>koolituskulud:Teenuste juhid, ärianalüütikud, poliitikakujundajad ja TEHIK töötajad</t>
  </si>
  <si>
    <t>Eleri Lapp</t>
  </si>
  <si>
    <t>Eesti tervisesüsteemi hindamise raamistiku (HSPA) projekt on lõppenud ehk kokku on lepitud mõõdikud kogu tervisevaldkonnale. 
Kuigi mõõdikud ise on innovatsiooni ja 
digivaldkonnale kokkulepitud on puudu protsessid kuidas täpsemalt mõõtmisi läbi viia.</t>
  </si>
  <si>
    <t>HSPA mõõdikute 
mõõtmisprotsessi
de väljatöötamine</t>
  </si>
  <si>
    <t xml:space="preserve">Tulemus on Eesti tervisesüsteemi mõõdikute rakendamise protsess (kuidas mõõdetakse). </t>
  </si>
  <si>
    <t>Martin Sepp</t>
  </si>
  <si>
    <t>Tubakatoodete kontrolli infosüsteem</t>
  </si>
  <si>
    <t>Kogu protsess on täna käsitöö, sh igasugune nõetele vastavuse kontroll. Minimaalne kontrollimise võimekus. Teavituste kontrollimata jätmine tekitab ettevõtjatele õigustatud ootuse müüa tooteid, mis ei ole kooskõlas tubakaseaduse nõuetega. TA avaliku usaldusväärsuse ja riigivastutuse risk.</t>
  </si>
  <si>
    <t xml:space="preserve">Tubakatoodete ja nendega seonduvate toodete teavituste sisuline automatiseeritud kontroll. </t>
  </si>
  <si>
    <t>Tubakatoodete ja e-vedelike teavituste kontrollimine on automatiseeritud, analüüsitav andmekoosseis on kirjeldatud ning inimese tervisele ohtlike ainete info on koondatud. Seega saavutame kontrolli automatiseerimisega EL nõuete täitmise. Tootjatelt kogutava riigilõivu maksed saab efektiivselt siduda teavituste ja nende uuendustega, seega on võimalik uude infosüsteemi koondada terviklik ülevaade tubakatoodetega seotud protsessidest. Viiakse läbi turvatestimine 2025 aastal.</t>
  </si>
  <si>
    <t>TAA9</t>
  </si>
  <si>
    <t>vt Arvestuse alused 2024 leht TAA9</t>
  </si>
  <si>
    <t xml:space="preserve">Jätkusuutlikkuskulud on esitatud Arvestuse alused 2024 lehel TAA9, jätkusuutlikkuskulud kaetakse valitsemisala eelarvest kulude </t>
  </si>
  <si>
    <t>MEIS II etapp</t>
  </si>
  <si>
    <t xml:space="preserve">Terviseameti (TA) menetlusinfosüsteemi MEIS kasutuselevõtu järgselt on leitud mitmeid järelevalvemenetluse tööprotsessi tegevusi, mida ametnikud viivad läbi teistes keskkondades (nt dokumendihaldussüsteem, e-post või paberkandja), mis omakorda tõstab üldist ajakulu ning tekitab keerukust eri keskkondade vahel navigeerimise näol (sh menetlusosalisele isikule). </t>
  </si>
  <si>
    <t>Täiendatud TA järelevalvemenetluse tööprotsess MEIS-s võimaldab nii ametnikul, kui ka menetlusosalisel isikul teha kõik toimingud ühes keskkonnas. Seeläbi tõuseb veelgi kogu protsessi kvaliteet, kiirus ning kasutajate rahulolu. Viiakse läbi turvatestimine 2025 aastal.</t>
  </si>
  <si>
    <t>TAA10</t>
  </si>
  <si>
    <t>vt Arvestuse alused 2024 leht TAA10</t>
  </si>
  <si>
    <t>Algatus ei suurenda jätkusuutlikkuskulusid, MEIS jätkustuutlikkuskulud on kaetud TEHIKu baaseelarvest</t>
  </si>
  <si>
    <t>Epp Immato, Rainer Ader</t>
  </si>
  <si>
    <t>Andmeladu</t>
  </si>
  <si>
    <t xml:space="preserve">Läbi aastate on kogutud väga palju digitaalseid andmeid, aga nende kasutamine otsuste tegemiseks on minimaalne ning andmete kasutamiseks tuleb läbi teha pikk ja kohmakas protsess. See ei vasta kasutajate ootustele ega Digiühiskonna arengukava 2030 ühele strateegilisele eesmärgile „Andmepõhine riigivalitsemine ja andmete taaskasutus“. Samuti on see andmeesitajatele koormav, kuna tihti küsitakse andmeid mitu korda, erineval moel ja erinevatesse kanalitesse.
Tehiniline vaade:
Tehiku kasutuses on hetkel kaks andmeladude platvormi. Uued lahendused on loodud moodsale Vertica platvormile kuivõrd kõige keerukam ja mahukam Tervise infosüsteemi andmeladu (Statistikamoodul) on Sybase IQ platvormil. Seni kuni TIS andmeladu on vanal platvormil oleme sunnitud ka osalisi uusi arendusi tegema Sybase IQ platvormile, mis tulevikus on vaja eraldi projektiga kolida Vertica platvormile.	
</t>
  </si>
  <si>
    <t>Andmed otsuste tegemiseks</t>
  </si>
  <si>
    <t xml:space="preserve">SOMi valitsemisala üleselt on võimalik kasutada erinevate andmekogude andmeid vajalike poliitilise otsuste ja juhtimisotsuste tegemiseks ning toetatud on kiire operatiivinfo väljastamine kiireloomuliste otsuste tegemiseks. Andmete väljastamise protsess on optimeeritud. Andmete omamise ja töötlemise juriidiline korraldus on viidud mõistlikule, väikseima bürokraatia tasemele.
TEHIK kasutuses on üks andmelao platvorm – Vertica. On olemas tervise infosüsteemi andmelao (Statisikamoodul) migreerimisplaan ja -töödega on alustatud, seal hulgas viiakse tervise infosüsteemi andmed analüütika tegemiseks sobivale kujule. Sybase IQ sulgemise tähtaeg on teada.
Uusi teenuseid arendatakse ühel platvormil.
</t>
  </si>
  <si>
    <t>A1</t>
  </si>
  <si>
    <t>vt Arvestuse alused 2024 leht A1</t>
  </si>
  <si>
    <t>Jätkusuutlikkuskulud on esitatud Arvestuse alused 2024 lehel A1, jätkusuutlikkuskulud kaetakse Tervisekassa eelarvest</t>
  </si>
  <si>
    <t>Krõõt Kaldma; Viljar Pallo</t>
  </si>
  <si>
    <t>Toetavad tegevused pikaajalise ajutise töövõimetusega inimestele toetussüsteemi loomiseks</t>
  </si>
  <si>
    <t>Ann-Claire Utt</t>
  </si>
  <si>
    <t>EST2EHDS</t>
  </si>
  <si>
    <t>Aurelia Mihk</t>
  </si>
  <si>
    <t>EST-2-MyHealth</t>
  </si>
  <si>
    <t>Rutt Lindström</t>
  </si>
  <si>
    <t>Xt-EHR</t>
  </si>
  <si>
    <t xml:space="preserve">III: Küberturvalisus </t>
  </si>
  <si>
    <t>3.3. Suurem küberturvalisuse tagamise võimekus</t>
  </si>
  <si>
    <t>II: küberruumi hoidmine, arendamine ja juurutamine usaldusväärse ja turvalisena</t>
  </si>
  <si>
    <t>Küberrünnete arv on pidevas kasvamises, kahe aastaga on kasv olnud pea 4 korda. Aastas on 54 miljonit turvasündmust, mille tõkestamisega infoturbeosakond tegeleb,. EITS standardi kohaselt üleminekul protsessipõhisele riskiohjele on toonud kaasa oluliselt laiema ja terviklikuma turbe vaate, kus kogu organisatsiooni on hõlmatud, võrreldes varasema andmekogu põhise turbemetoodikaga (ISKE). TEHIK-u hallata on 35 andmekogu, mille abil töödeldakse isikuandmeid, sh vahetatakse andmeid nii siseriiklike kui EL osapooltega. Andmete kaitseks näevad EL ja ISKE/EITS nõuded ette seire turberikkumiste tuvastamiseks. Arvestades pidevat küberrünnete kasvu on vajalik teha täiendavaid samme turvalisuse tagamiseks.</t>
  </si>
  <si>
    <t>Küberturvalisuse tagamise võimekuse säilitamine</t>
  </si>
  <si>
    <t>Tagatud on võimekus reageerida rünnetele, analüüsida ja hallata riske</t>
  </si>
  <si>
    <t>RES1</t>
  </si>
  <si>
    <t>RES IKT (vaja juurde taotleda)</t>
  </si>
  <si>
    <t>vt Arvestuse alused 2024 leht RES1</t>
  </si>
  <si>
    <t xml:space="preserve">Andmepõhine otsuste langetamine ning andmete tagamine juhtimisotsusteks, analüüsideks, teadlastele kasutamiseks on igapäevane normaalsus. Digiriigi arengukava kohaselt on üheks oluliseks suunaks ja arenguhüppe võimaldajaks andmepõhine riigivalitsemine ja andmete taaskasutus. 2020-2022 ehitati TEHIKus üles andmehalduse, -analüüsi ja andmeladude loomise võimekus, kättesaadavaks tehti avaandmed. Tegevuste rahastus oli ühekordsetest vahenditest. Alates 2023 aastast rahastus ei jätkunud ning 2023 ja 2024 on tegevusi jätkatud eelarve jääkidest, mida 2025 aastaks enam ei jätku. </t>
  </si>
  <si>
    <t>Andmepõhiseks riigivalitsemiseks tervise - ja sotsiaalvaldkonnas andmehalduse ja kvaliteedi tagamine </t>
  </si>
  <si>
    <t>Tagatud on andmed analüüsideks ja juhtimisotsuste tegemiseks, paraneb andmekvaliteet,  tagatud on andmeladude jätkusuutlikkus. Tegevuste mittejätkumiselt väheneb oluliselt andmete kättesaadavus.</t>
  </si>
  <si>
    <t>RES2</t>
  </si>
  <si>
    <t>vt Arvestuse alused 2024 leht RES2</t>
  </si>
  <si>
    <t xml:space="preserve">Tervise valdkonna infosüsteemide ülalpidamiseks (hooldamiseks, haldamiseks, majutamiseks) puuduvad piisavad vahendid baaseelarves. Kõigil aastatel on ka RESi lisaeelarve taotlused esitatud ning ka osaliselt rahastust saadud, kuid see ei ole olnud piisav võimaldamaks nõuetekohaselt infosüsteeme hallata ja majutada, kuna valdavalt on jäänud rahastamata baastaristu tagamisega seotud taotlused, ilma milleta on teenuste ülalpidamine võimatu. Samas on vajadus uute lahenduste järele ning teenuseid on loodud juurde või uuendatud, nõuded teenuste käideldavusele on kasvanud. Üheaastaste lepingute alusel on Tervisekassa rahastanud tervise valdkonna infosüsteemide ülalpidamist. 2024 aastaks on kokku lepitud digisaatekirjade, e-kiirabi, digiregistratuuri, otsustustoe, apteegi MISP2, terviseportaali, personaalmeditsiini ja tervisejuhtimise töölaua ülalpidamine Tervisekassa eelarvest. Puudub kindlus, et rahastus jätkub 2025 ja edaspidi, arvestades, et Tervisekassa 2025 a eelarve prognoositav puudujääk on üle 149 miljoni euro. </t>
  </si>
  <si>
    <t>Tervise valdkonna uute ja uuendatud IKT teenuste ülalpidamine</t>
  </si>
  <si>
    <t>Tervise valdkonna teenused on nõuetekohaselt ja turvaliselt kättesaadavad, katkestuste arve on SLA piires.</t>
  </si>
  <si>
    <t>RES3</t>
  </si>
  <si>
    <t>vt Arvestuse alused 2024 leht RES3</t>
  </si>
  <si>
    <t>Hädaolukorra seaduse muutmise ja sellega seonduvate teiste seaduste muutmise eelnõust tulenevate kohustuste täitmine, sh digitaristu võimestamine ning küberrünnakute tõkestamine ETOdega seotud süsteemidele ning terviseandmetele.</t>
  </si>
  <si>
    <t>Ründetuvastusmoodul on soetatud ning kasutusse võetud ja ajakohased litsentsid on tagatud</t>
  </si>
  <si>
    <t>Ründetuvastusmoodul 497 000 eurot, Turvasündmuste haldussüsteemi litsentside kallinemine ja laiendamine (SIEM: Elastic Observatory laiendamine (59 000 eurot aastas), Tenable (23 000 eurot aastas), APM (90 000 eurot aastas); Trendmicro (80 000 eurot aastas)</t>
  </si>
  <si>
    <t>Tsiviilkriisi ja riigikaitse seaduse eelnõust tulenevate kohustuste täitmine</t>
  </si>
  <si>
    <t xml:space="preserve">IT töökohateenuse tagamine programmi Teenused ohvitele ja vägivallatsejatele eesmärkide saavutamiseks </t>
  </si>
  <si>
    <t>SKA töötajatele on IT töökohakulud tagatud</t>
  </si>
  <si>
    <t>Töökohakulud SKA ametikohtadele</t>
  </si>
  <si>
    <t>IT töökohateenuse tagamine programmi Hoolekande kättesaadavuse tagamise ja toimetuleku toetamise eesmärkide saavutamiseks </t>
  </si>
  <si>
    <t>SOM tervik</t>
  </si>
  <si>
    <t>II: Ühenduvus</t>
  </si>
  <si>
    <t>1.1.2. Krativäeline riik</t>
  </si>
  <si>
    <t>+km</t>
  </si>
  <si>
    <t>Reserv (SR)</t>
  </si>
  <si>
    <t>SF 14-20 (töös olev projekt)</t>
  </si>
  <si>
    <t>1.2.3. Tulevikukindlad digiriigi platvormid</t>
  </si>
  <si>
    <t>3. teadlikkuse tõstmine</t>
  </si>
  <si>
    <t>1.2.5. Uute lähenemisviiside pidev katsetamine</t>
  </si>
  <si>
    <t>1.2.6. Avatud innovatsioon ja digiriigi kogukonna arendamine</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</si>
  <si>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</si>
  <si>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</si>
  <si>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</si>
  <si>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</si>
  <si>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</si>
  <si>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</si>
  <si>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</si>
  <si>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</si>
  <si>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Sotsiaalkaitse valdkond</t>
  </si>
  <si>
    <t>Tervise valdkond</t>
  </si>
  <si>
    <t>Valdkonna digipööre</t>
  </si>
  <si>
    <t>Kokku</t>
  </si>
  <si>
    <t>Puudu olev jätkusuutlikkuse RES rahastus</t>
  </si>
  <si>
    <t>Algtase</t>
  </si>
  <si>
    <t>Lõpptase</t>
  </si>
  <si>
    <t>Lõpptase 2030</t>
  </si>
  <si>
    <t>Panustab arengukava suundadesse</t>
  </si>
  <si>
    <t>Meetme toetatavad tegevused</t>
  </si>
  <si>
    <t>Algatuse nimi</t>
  </si>
  <si>
    <t>2023 eelarve</t>
  </si>
  <si>
    <t>Kalkulatsioon ja allika põhjendus</t>
  </si>
  <si>
    <t>Jätkusuutlikkuse kulu</t>
  </si>
  <si>
    <t>Filter</t>
  </si>
  <si>
    <t>2023 eelarve täitmine</t>
  </si>
  <si>
    <t>2023 täitmise aruanne / sisu kirjeldus / põhjendused</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</si>
  <si>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</si>
  <si>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</si>
  <si>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</si>
  <si>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ISM analüüsiga alustame 2024 augustis kuna EMTAl ei ole partnerina enne ressurssi. Sügisel selgub täpsustunud ajakava. </t>
  </si>
  <si>
    <t>Seoses analüüsi ajakava edasilükkumisega, lükkub ka arendus tõenäoliselt 2025 aastasse, ajakava täpsustub 2024 sügisel 3-4kvartal. </t>
  </si>
  <si>
    <t>1. Tegevus sisaldab jätkusuutlikkuse kulusid ja need on samal real välja toodud.</t>
  </si>
  <si>
    <t>GOV SSO osas realiseerime POSTKAST 2.0 funktsionaalsuse esmalt kontaktandmete uuendamise ja andmevahetuse RRga.2024 aasta lõpus saame täpsustada GOV SSO skoobi ja ajakava. </t>
  </si>
  <si>
    <t>on värvatud agile coach kes toetab TEHIKu sisemiste protsesside optimeerimisel ja uute lähenemise juurutamisel arendusetappides.</t>
  </si>
  <si>
    <t>Agile coach on värvatud ja panustab TEHIKu sisemiste protsesside optimeerimisse ja uute lähenemiste juurutamisse arendusetappides.</t>
  </si>
  <si>
    <t>kompetentside kasvatamine läbi koolituste, et toetada protsesse ja digipöörde elluviimist.</t>
  </si>
  <si>
    <t>koostatud on lähiaastate koolitusplaan, alustatud on esmaste digipädevusi tõstvate koolitusega. Jagatud on info riigiüleste kesksete koolitusvõimaluste kohta (nt MKM koolitused)</t>
  </si>
  <si>
    <t>2023 välisrahastusest koolitusi läbi ei viidud, kuna abikõlblikkusperiood lükkus edasi,  eelarvet soovime kasutada 2024 aastal. 2024 on tegeletud koolitusplaani täpsustamisega ja on alustatud hangete ettevalmistamist</t>
  </si>
  <si>
    <t>Liis Mesi</t>
  </si>
  <si>
    <t xml:space="preserve">Eesmärk on luua broneeringusüsteem STARi kaudu korraldatavale teenusele digitaalselt ja turvaliselt aja teenusele registreerumiseks. </t>
  </si>
  <si>
    <t>Broneerimissüsteemi I etapp</t>
  </si>
  <si>
    <t xml:space="preserve">valminud on uus funktsionaalsus. Projekti algus 2022. </t>
  </si>
  <si>
    <t xml:space="preserve">2023 on arendused realiseeritud ja projekt on valmis. </t>
  </si>
  <si>
    <t>Rea Uudeküll</t>
  </si>
  <si>
    <t>Perelepitusteenuse käigus aidatakse lapsevanemaid, kes kooselu lõppemisel või last eraldi kasvatades ei ole suutnud jõuda lapse kasvatamise korralduse ja heaolu tagamise küsimustes omavahel kokkuleppele.</t>
  </si>
  <si>
    <t>Perelepituse teenuse I etapp</t>
  </si>
  <si>
    <t>valminud on uus funktsionaalsus.</t>
  </si>
  <si>
    <t>Perelepituse teenuse I etapp TURVATEST</t>
  </si>
  <si>
    <t>on läbi viidud turvatestid</t>
  </si>
  <si>
    <t>Turvatestid tehakse 2024</t>
  </si>
  <si>
    <t>tehnoloogilise võla vähendamine läbi komponentide ajakohastamise</t>
  </si>
  <si>
    <t>TEHNOLOOGILINE VÕLG: STAR üldkomponendid</t>
  </si>
  <si>
    <t>standardtoetuste funktsionaalsuse arendused, hindamiste funktsionaalsuste arendused standardtoetuste jaoks, digiallkirjastamine</t>
  </si>
  <si>
    <t xml:space="preserve">Projekt on arenduses, GOLIVE planeeritud mai 2024. </t>
  </si>
  <si>
    <t>Liis Paloots</t>
  </si>
  <si>
    <t>Tõlketeenus</t>
  </si>
  <si>
    <t>on valminud funktsionaalsus</t>
  </si>
  <si>
    <t xml:space="preserve">SKA arenduste juhtrühma otsusega on projekt peatatud. </t>
  </si>
  <si>
    <t>Ester Marjapuu</t>
  </si>
  <si>
    <t>Annetatud toiduabi</t>
  </si>
  <si>
    <t>Projekt on lives, GOLive 29.06.2023</t>
  </si>
  <si>
    <t xml:space="preserve">Sotsiaalministeerium </t>
  </si>
  <si>
    <t>Heidi Paabort</t>
  </si>
  <si>
    <t>Noortegarantii(NGTS-i) väikearendused</t>
  </si>
  <si>
    <t>Projekt on lives, GOLive september 2023</t>
  </si>
  <si>
    <t>Aika Kaukver?</t>
  </si>
  <si>
    <t>Täisealise abivajaduse esmane hindamine I etapp</t>
  </si>
  <si>
    <t>on valminud analüüs ja osa funktsionaalsusest</t>
  </si>
  <si>
    <t>projekt on arenduses.</t>
  </si>
  <si>
    <t>Teenuseosutaja portaal I etapp</t>
  </si>
  <si>
    <t xml:space="preserve">projekt on planeeritud algama 2025 aastal. </t>
  </si>
  <si>
    <t>Toiduabi vautšerite süsteemi arendus</t>
  </si>
  <si>
    <t>2023 valmib ärianalüüs</t>
  </si>
  <si>
    <t>Projekt on SKA ärianalüüsis</t>
  </si>
  <si>
    <t>Puudega täiskasvanu abivajaduse hindamine</t>
  </si>
  <si>
    <t>Puudeinfo andmevahetuse projekt. (lapsed GOlive 17.01.2023), täiskasvanud 01.02.2023</t>
  </si>
  <si>
    <t>tehnoloogilise võla vähendamine</t>
  </si>
  <si>
    <t>TEHNOLOOGILINE VÕLG: RR andmevahetus</t>
  </si>
  <si>
    <t>ajutise kaitse ja rahvusvahelise kaite tunnuse lisamine, viibimiskoha andmete arendus, x-tee teenuse muudatused</t>
  </si>
  <si>
    <t xml:space="preserve">hetkel on projekt pausil kuna arendajapoolne hinnang ja lahendus vajab TEHIKu poolset analüüsi ja läbitöötamist, samuti vajame täiendavat rahastust antud projekti lõpule viimiseks. Selle leidmiseni ja lahenduse valideerimiseni on projekt pausil. </t>
  </si>
  <si>
    <t>Kalev Härk</t>
  </si>
  <si>
    <t xml:space="preserve">Puude raskusastme tuvastamisel ei saa Rahvusvahelise funktsioneerimisvõime klassifikatsiooni põhist infot kasutada ja RKF-põhist hindamistulemusi esitada, sest SKAl puudub RFK kasutamise võimekus hindamisinfo vastuvõtmisel, salvestamisel ja andmete kuvamisel. </t>
  </si>
  <si>
    <t>RFK põhise hindamisinfo vastuvõtmine I etapp</t>
  </si>
  <si>
    <t>projekt on lõpetatud, arendused on valmis.</t>
  </si>
  <si>
    <t xml:space="preserve">Eestis on ligikaudu 8800 last ja 74 000 vanaduspensioniealist puudega inimest kellel ei ole võimalik tuvastada ja sotsiaaltoetust taotleda e-teenusena läbi iseteeninduse. </t>
  </si>
  <si>
    <t>LAVA:Puuetega lapse ja vanaduspensioniealiste klienditeekonna redisain I etapp</t>
  </si>
  <si>
    <t>klientide suhtluse parendamine läbi arenduste.</t>
  </si>
  <si>
    <t>Kliendisuhtluse ja alusdokumentide kuvamine Iseteeninduses</t>
  </si>
  <si>
    <t>Piret Meemann</t>
  </si>
  <si>
    <t>erivajadusega inimestele senisest parema toe pakkumine</t>
  </si>
  <si>
    <t>Hooldajatoetuse arendus SKAIS2</t>
  </si>
  <si>
    <t>on valminud ärianalüüs</t>
  </si>
  <si>
    <t xml:space="preserve">12.06.23 juhtrühma otsused ja kommentaarid: Juhtrühma otsus: Arendus liigub backlogi. Arenduse ootus tulenes 2022 aastal VTKst, kus sooviti laiendada hooldajate puhkuse võimalusi. Lisarahastust sellele teenusele ei saadud ning ka 2024 on rahastuse saamine ebatõenäoline. Kui teenust ei ole puudub ka vajadus arenduseks. </t>
  </si>
  <si>
    <t>Regina Multram</t>
  </si>
  <si>
    <t>lasterikka peretoetuste arendused tulenevalt seadusemuudatusest</t>
  </si>
  <si>
    <t>Lasterikka peretoetuse arendused</t>
  </si>
  <si>
    <t xml:space="preserve">on jäänud viimased funktsionaalsuste arendused kuid peamine osa on valmis, lõpetame 2kvartal 2024. </t>
  </si>
  <si>
    <t>Terje Tiitsu</t>
  </si>
  <si>
    <t xml:space="preserve">inimestele läheksid õiged summad õigel ajal. </t>
  </si>
  <si>
    <t>Arvestusmooduli arestimise funktsionaalsus I etapp</t>
  </si>
  <si>
    <t xml:space="preserve">arestid I etapp on valmis ning funktsionaalsus üle antud äripoolele testimiseks, algatatud on arestid II etapp mille tulemused valmivad 2kvartal 2024. </t>
  </si>
  <si>
    <t>pensionite ületoomiseks skais2 tuleb täiendada arvestusmoodulit</t>
  </si>
  <si>
    <t>Pensionite ületoomiseks vajaliku arvestusmooduli korrastus</t>
  </si>
  <si>
    <t>TEHNOLOOGILINE VÕLG: Pensionide, kahjuhüvitiste väljamaksmise üleviimine SKAIS2 ja uute tulumaksureeglite rakendamine(TULP)</t>
  </si>
  <si>
    <t>on parendatud tehnoloogilise võla olukorda</t>
  </si>
  <si>
    <t>TEHNOLOOGILINE VÕLG: TULP täiendavad arendused</t>
  </si>
  <si>
    <t>Agne Kiviselg</t>
  </si>
  <si>
    <t>pensionide õiges summas väljamaksete tagamine</t>
  </si>
  <si>
    <t>PÕS arendus: Pensioniteenuse arenduse I etapp -staaži arvestamine</t>
  </si>
  <si>
    <t xml:space="preserve">projekt on lõpetatud, andmete migreerimine toimus aprill 2024. </t>
  </si>
  <si>
    <t>Pensionite, toetuste ja hüvitiste arvestamise ja maksmise jätkusuutlikkuskulud ei ole täies ulatuses tagatud</t>
  </si>
  <si>
    <t>Pensionite, toetuste ja hüvitiste arvestuse ja maksmise tagamine kriisiolukordades </t>
  </si>
  <si>
    <t>tagatud on ülalpidamiskulud</t>
  </si>
  <si>
    <t>vt leht RES</t>
  </si>
  <si>
    <t>2. Tegevus on jätkusuutlikkuse kulu</t>
  </si>
  <si>
    <t>taotlus rahuldati 2 000 000</t>
  </si>
  <si>
    <t>tegevustega on alustatud ja teostatakse vastavalt tööplaanile</t>
  </si>
  <si>
    <t>Täitmine sisaldab ka tehnoloogilise võla täitmist mille vahendid eraldati 2023</t>
  </si>
  <si>
    <t>Sotsiaalministeerium / TEHIK/Terviseamet</t>
  </si>
  <si>
    <t>Terviseameti poolt kogutud keskkonnatervise andmed elukeskkonnast ei ole mugavalt kättesaadavad kodanikele, teadusasutustele, ettevõtetele ega ka teistel riigiasutustele.</t>
  </si>
  <si>
    <t>Terviseteadlik kodanik</t>
  </si>
  <si>
    <t>2023 aastal on teostatud uuring, milliseid teenuseid ja infot vajab kodanik</t>
  </si>
  <si>
    <t>äripaneel, andmetepaneel</t>
  </si>
  <si>
    <t>Terviseameti eelarves</t>
  </si>
  <si>
    <t>Panustab arengukava suunadadesse:  Avalike teenuste juhtimise ja kasutajakesksuse juurutamine; Andmepõhine riigivalitsemine ja andmete taaskasutus; Tulevikukindlad digiriigi platvormid: Keskselt osutatud IT-baasteenused</t>
  </si>
  <si>
    <t>Terviseamet viis läbi koostöös Tartu Ülikooliga (sandbox - https://sandbox.cs.ut.ee/ ) lühikese uuringu. Keskenduti kasutajate ehk kodanike vajadustele leida/tarbida keskkonna andmeid ning kuidas neid oleks kasutajal mugav kasutada.</t>
  </si>
  <si>
    <t xml:space="preserve">Jätkuarendused, teenuste avaandmete, aruannete jne välja näitamiseks kodanikule </t>
  </si>
  <si>
    <t>2026 - 2029</t>
  </si>
  <si>
    <t>taotlust ei rahuldatud, planeerime katta haldusala sisemiste ressursside ümberjagamise kaudu</t>
  </si>
  <si>
    <t>2023. lõpuks on analüüsi teostamiseks leitud partner ning analüüsiga alustatud. 2024. a lõpuks valmib analüüs.</t>
  </si>
  <si>
    <t>2023/2024 I kv läbi viidud raamhange partneri leidmiseks. Esimene lepingu sõlmimise aeg on 11.04, kui hanget ei vaidlustata.</t>
  </si>
  <si>
    <t>hange on läbi viidud, tegevustega alustatakse 2024</t>
  </si>
  <si>
    <t xml:space="preserve">Aruandluse automatiseerimine, sh avaandmed </t>
  </si>
  <si>
    <t>Arendused, et tagasisidet küsida süsteemis</t>
  </si>
  <si>
    <t>Juurutamise ja kommunikatsiooni tegevused</t>
  </si>
  <si>
    <t>Tuleviku tegevus</t>
  </si>
  <si>
    <t>Õigusruumi muudatused</t>
  </si>
  <si>
    <t>2024 - 2026</t>
  </si>
  <si>
    <t>tegevused planeeritud alates 2026</t>
  </si>
  <si>
    <t>ülalpidamiskulud</t>
  </si>
  <si>
    <t>tegevused planeeritud alates 2027</t>
  </si>
  <si>
    <t xml:space="preserve">2023 aasta lõpuks on teostatud hange ja leitud on partner detailanalüüsi ja arenduste läbiviimiseks. Projekti lõpuks on Terviseametil uus NAKIS infosüsteem ja loodud on kõik vajalikud liidesed teiste infosüsteemidega. 2024.a valmib detailanalüüs, arendustega alustame juba varem paralleelselt. </t>
  </si>
  <si>
    <t xml:space="preserve">2023/2024 I kv läbi viidud raamhange partneri leidmiseks. </t>
  </si>
  <si>
    <t>Paraleelselt arenduste ja analüüsiga, viib TEHIK läbi aruandluse/avaandmete ja andmelao projekti, mis hõlmab aruandeid, mis ei vaja isikuandmeid ja mille osas saab info TIS süsteemist</t>
  </si>
  <si>
    <t>Esimesed aruanded on Terviseametile loodud 2023 aasta lõpuks</t>
  </si>
  <si>
    <t>Aruannete loomisega ning aruannete skoobi kokku leppimisega on alustatud. Samuti on olemasolevate andmete pealt loodud GRIPI ja vaktsineerimise aruandeid</t>
  </si>
  <si>
    <t>NAKIS kontekstis õigusruumi muudatused ja andmete võimaldamine Terviseametile</t>
  </si>
  <si>
    <t xml:space="preserve">2026 aastaks ehk süsteemi live minekuks on vastuvõetud kõik vajalikud seaduse muudatused andmete saamiseks Terviseametil </t>
  </si>
  <si>
    <t>2023 ei olnud tegevusi planeeritud</t>
  </si>
  <si>
    <t>2025 Süsteemi keskkonnad on majutatud riigipilves</t>
  </si>
  <si>
    <t>MSA on tehnoloogiliselt vananenud süsteem, sh ei toeta tänapäevaseid tööprotsesse jne. Detailanalüüs</t>
  </si>
  <si>
    <t>2023 aastaks on läbiviidud detailanalüüs</t>
  </si>
  <si>
    <t>2023 on teostatud/lõpetatud detailanalüüs (Projekt nr 2014-2020.12.03.21-0990)</t>
  </si>
  <si>
    <t xml:space="preserve">2023 aastal viiakse läbi hange partneri leidmiseks ja võimalusel alustatakse arendustega. 2024 - 2026 arendus </t>
  </si>
  <si>
    <t>Avaandmed ja aruandlus</t>
  </si>
  <si>
    <t>Juurutamine ja rahulolu mõõtmine</t>
  </si>
  <si>
    <t>2025 Läbi on viidud tagasiside küsimine ja on selge ülevaade parandamist vajavatest kohtadest</t>
  </si>
  <si>
    <t>2026 aasta lõpuks on vaja viia läbi kõik seotud õiguruumi muudatused</t>
  </si>
  <si>
    <t xml:space="preserve">tegevustega on alustatud </t>
  </si>
  <si>
    <t>Jätkuarendused</t>
  </si>
  <si>
    <t>Tagasiside andmise tehniline lahendus</t>
  </si>
  <si>
    <t>Sotsiaalministeerium / TAI</t>
  </si>
  <si>
    <t>Tervisestatistika andmekogumisel uuele metoodikale üleminek</t>
  </si>
  <si>
    <t xml:space="preserve">2023. a tulemuseks on ärianalüüsi valmimine.
2024. a jooksul valmib detailne arendusprojekti plaan. Sama aasta teises pooles minnakse hankesse arendaja leidmiseks. 
2025. - 2026. a arendatakse välja maksimaalselt parim lahendus TIS andmete kasutusele võtmiseks tervisestatistika tegemisel. Alates andmekvaliteedi tagamisest kuni andmevoogude liikumiseni TEHIK-TAI suunal. Paralleelselt testitakse arenduse toimivust ja 
2027. a on arenduse </t>
  </si>
  <si>
    <t>Arhitektuuri paneel?</t>
  </si>
  <si>
    <t xml:space="preserve">2023 aastal toimusid ärianalüüsi eelanalüüsi ettevalmistused ja osaline alustamine.
2023. aastal jäi ärianalüüs koostamata, sest riigieelarvelistele kuludele tulid kärped ja see oli üks tegevusi, mille tegemine ja valmimine lükati järgmisesse aastasse, sest alates 1.01.2024 on TAI-l võimalik kasutada MKMi andmepõhise aruandluse teadus ja arendusvahendeid ning TEHIKul Digipöörde vahendeid.  
2023. a komplekteerisime mõlemapoolselt meeskondi ja tegime eelhinnanguid, milliste teemade osas on mõistlik eelanalüüse koostama hakata.
2024 aastal on tehtud:
•	TEHIK ja TAI on kokku pannud omapoolsed esialgsed meeskonnad. TEHIKul on projektijuht määratud, TAI tegevusi koordineerib hetkel andmepõhise aruandluse rahaliste vahendite juht, kuid projektijuhti otsitakse (teine vestlusvoor kandidaatidega pooleli).
•	Neli eelanalüüsi kuuest on valmis, nende pealt tehakse otsused, millised on iga teema täpsemad tegevused, millisel teemal on suurim mõju TTOdele.
•	Andmete edastamise leping on TEHIK-SoMis koostamisel
•	TIS andmete kvaliteedi hindamiseks on TAI esitanud TEHIKule täiendavate andmete päringu (TAI TIS andmestikest puuduolevad tunnused). TEHIK on sellele andnud esialgse hinnangu - andmete laadimiseks andmelattu on vaja tellida arendus.  
</t>
  </si>
  <si>
    <t>2023. a tulemuseks on ärianalüüsi valmimine, analüüs 2023. aastal koostatakse TAI rahastusest.
2024. a jooksul valmib detailne arendusprojekti plaan. Sama aasta teises pooles minnakse hankesse arendaja leidmiseks. 
2025. - 2026. a arendatakse välja maksimaalselt parim lahendus TIS andmete kasutusele võtmiseks tervisestatistika tegemisel. Alates andmekvaliteedi tagamisest kuni andmevoogude liikumiseni TEHIK-TAI suunal. Paralleelselt testitakse arenduse toimivust ja 
2027. a on arenduse </t>
  </si>
  <si>
    <t xml:space="preserve">2024 aastal on tehtud:
•TEHIK ja TAI on kokku pannud omapoolsed esialgsed meeskonnad. TEHIKul on projektijuht määratud, TAI tegevusi koordineerib hetkel andmepõhise aruandluse rahaliste vahendite juht, kuid projektijuhti otsitakse (teine vestlusvoor kandidaatidega pooleli).
•Neli eelanalüüsi kuuest on valmis, nende pealt tehakse otsused, millised on iga teema täpsemad tegevused, millisel teemal on suurim mõju TTOdele.
•Andmete edastamise leping on TEHIK-SoMis koostamisel
•TIS andmete kvaliteedi hindamiseks on TAI esitanud TEHIKule täiendavate andmete päringu (TAI TIS andmestikest puuduolevad tunnused). TEHIK on sellele andnud esialgse hinnangu - andmete laadimiseks andmelattu on vaja tellida arendus.  </t>
  </si>
  <si>
    <t>Tervisestatistika andmekogumisel uuele metoodikale üleminek - puuduvad jätkusuutlikkuskulud</t>
  </si>
  <si>
    <t>Tervisestatistika andmekogumisel uuele metoodikale üleminek - jätkusuutlikkus</t>
  </si>
  <si>
    <t>Tagatud on tervisestatistika andmekogumise jätkusuutlikkus</t>
  </si>
  <si>
    <t>Sotsiaalministeerium / Ravimiamet</t>
  </si>
  <si>
    <t xml:space="preserve">2023 hange arenduspartneri leidmiseks ja algab ärianalüüs, 2024 algab paralleelselt ka süsteemianalüüs ja arendus
Ravimiameti hallatavate ravimite kohta adekvaatse, ajakohase info kättesaadavuse parandamine kodanikele, tervishoiutöötajatele ja otsustajatele, mis toetaks ravimite efektiivset käsitlemist tervishoiusüsteemi(de)s . _x000B_- Alameesmärgiks on Ravimiameti poolt hallatavate ravimeid puudutavate andmestike ja nende andmestike haldusprotsesside korrastus
Alameesmärgiks on andmevahetussüsteemide eelduste loomine Ravimiameti ja teiste tervisevaldkonnas tegutsevate osapoolte vahel (nt Tervisekassa, haiglad, perearsti keskused, jms), tagamaks Ravimiameti andmestike vastavust kaasaegsetele standarditele
Alameesmärgiks on tagada andmekogude vaheline andmevahetus, sh tarbime andmeid selle allikast ja ei dubleeri andmeid.
Ravimite hulgimüügistatistikat puudutav andmestik on viidud andmeaita ja kasutusele on võetud analüüsilahendus. </t>
  </si>
  <si>
    <t xml:space="preserve">2024 II-III kvartalis hangime arenduspartnerit analüüsi- ja arendustööde läbiviimiseks. </t>
  </si>
  <si>
    <t>Ravimiameti analüüsilahendusel puudub jätkusuutlikkuskulude eelarve</t>
  </si>
  <si>
    <t>Ravimiameti analüüsilahenduse jätkusuutlikkuskulud</t>
  </si>
  <si>
    <t>Ravimiameti analüüsilahenduse jätkusuutlikkus on tagatud</t>
  </si>
  <si>
    <t>TAI eelarves on aastaks 2023 100 000.-  tuleviku arenduste kulud on toodud TAA5</t>
  </si>
  <si>
    <t xml:space="preserve">2023 hange arenduspartneri leidmiseks ja algab ärianalüüs ning süsteemianalüüs, 2024 algab arendus
Ravimiameti ravimitega seonduvate menetlusprotsesside ühtlustamine ja uuendamine  </t>
  </si>
  <si>
    <t xml:space="preserve">2024 a viisime rahvusvahelise hanke läbi ja II kvartalis alustame hankepartneriga arenduse jaoks vajalike analüüsitöödega. </t>
  </si>
  <si>
    <t>Puudub jätkusuutlikkuskulude eelarve  Ravimiameti ravimitega seonduvate menetlusprotsesside ühtlustamine ja uuendamine  arendusele</t>
  </si>
  <si>
    <t>Jätkusuutlikkuskulude eelarve tagamine Ravimiameti ravimitega seonduvate menetlusprotsesside ühtlustamine ja uuendamine  arendusele</t>
  </si>
  <si>
    <t>Tagatud on Ravimiameti ravimitega seonduvate menetlusprotsesside ühtlustamine ja uuendamine arenduse jätkusuutlikkus</t>
  </si>
  <si>
    <t>Sotsiaalministeerium / TEHIK</t>
  </si>
  <si>
    <t xml:space="preserve">TEHIK </t>
  </si>
  <si>
    <t>Baaseelarves puuduvad piisavad vahendid tervise valdkonna teenuste ülalpidamiseks</t>
  </si>
  <si>
    <t>Tervise valdkonna RES lisataotlus (taakvara ja baasi puudujääk)</t>
  </si>
  <si>
    <t>vt TAA6</t>
  </si>
  <si>
    <t>taotlust ei rahuldatud, planeerime katta Tervisekassa eelarvest, tegevuste tähtaegade pikendamise ja haldusala sisemiste ressursside ümberjagamise kaudu</t>
  </si>
  <si>
    <t>Tervise valdkonna baasrahastus</t>
  </si>
  <si>
    <t>ei</t>
  </si>
  <si>
    <t>Täitmine esitatud vastavalt digipööret toetavatele tegevustele, mis viidi ellu vastavalt tööplaanile</t>
  </si>
  <si>
    <t>Tervise valdkonna baasrahastus reservis</t>
  </si>
  <si>
    <t>kõik planeeritud tegevused viidi ellu, reserv on alates 2024 liidetud baaseelarvega</t>
  </si>
  <si>
    <t>Health Sense</t>
  </si>
  <si>
    <t>projekt lõppeb 2024</t>
  </si>
  <si>
    <t>Tervise portaali analüüs ja arendamine</t>
  </si>
  <si>
    <t xml:space="preserve">Terviseportaal käivitati 27.11.2023, samal ajal suleti patsiendiportaal. </t>
  </si>
  <si>
    <t>Raviminimede hindamise krati rakendamine</t>
  </si>
  <si>
    <t>projekt on lõpetatud, eesmärgid saavutatud</t>
  </si>
  <si>
    <t>Personaalmeditsiin</t>
  </si>
  <si>
    <t>Personaalmeditsiini taristu valmis 2023 aasta suvel. Käivitamine ootab õigusruumi muudatust.  Tervisekassa peab võimalike teenuse toimimiseks vajalike algoritmide pakkujatega hanke läbirääkimisi.</t>
  </si>
  <si>
    <t>Üleriigiline vere infosüsteem (otsime teisi rahastusallkaid)</t>
  </si>
  <si>
    <t>Jätkusuutlikkulud on tagatud TEHIKu baaseelarvest</t>
  </si>
  <si>
    <t>Tegevused planeeritud alates 2024</t>
  </si>
  <si>
    <t>Puudub eelarve üleriigilise vere infosüsteemi jätkusuutlikkuse tagamiseks</t>
  </si>
  <si>
    <t>Üleriigilise vere infosüsteemi jätkusuutlikkuse tagamine</t>
  </si>
  <si>
    <t>Üleriigilise vere infosüsteemi jätkusuutlikkus on tagatud</t>
  </si>
  <si>
    <t>taotlust ei rahuldatud, planeerime katta PERHi eelarvest ja sisemiste ressursside ümberjagamise kaudu</t>
  </si>
  <si>
    <t>TIS ja UpTis arendused ja ülalpidamine</t>
  </si>
  <si>
    <t xml:space="preserve">Käivitatud tervise juhtimise töölaua teenus, arendatud patsiendi üldandmete teenus, arendatud upTIS baasplatvormi, loodud tervishoiuspetsialistidele andmete TIS-i edastamise võimalus </t>
  </si>
  <si>
    <t>MISP haldus</t>
  </si>
  <si>
    <t>jätkusuutlikkuskulud taotletakse RES 2024-2027 protsessis</t>
  </si>
  <si>
    <t>Otsustustoe teenus on hallatud ja väikearendused tehtud</t>
  </si>
  <si>
    <t>EESSI andmevahetusteenus, RINA haldus</t>
  </si>
  <si>
    <t>vt TAA8</t>
  </si>
  <si>
    <t>Otsustustugi</t>
  </si>
  <si>
    <t>EHK kasutajatoe 24/7 tagamine</t>
  </si>
  <si>
    <t>Jätkusuutlikkuskulud taotleme RES2024-2027 protsessis</t>
  </si>
  <si>
    <t>Kasutajatoe teenus on tagatud</t>
  </si>
  <si>
    <t>Terviseameti menetlussüsteem MEIS</t>
  </si>
  <si>
    <t>Mürgistusteabe keskuse infosüsteem (MTK)</t>
  </si>
  <si>
    <t>Reovee seire IT infrastruktuuri loomine</t>
  </si>
  <si>
    <t>lahendus loodud MEDREs</t>
  </si>
  <si>
    <t>Patsiendiohutuse andmebaasi arendus</t>
  </si>
  <si>
    <t>tegevustega on alutatud ja lõpetatakse 2024</t>
  </si>
  <si>
    <t>Patsiendikindlustuse arendus MEDRE 2</t>
  </si>
  <si>
    <t>MEIS turvatestimine</t>
  </si>
  <si>
    <t>teostatud</t>
  </si>
  <si>
    <t>Patsiendiohutuse veebikoolituste keskkond</t>
  </si>
  <si>
    <t>Terviseametile üle antud, tegevus ei ole otseselt IKTga seotud</t>
  </si>
  <si>
    <t>Laboriseadmete infosüsteem (LAB) 2023</t>
  </si>
  <si>
    <t>Terviseameti otsusega peatatud</t>
  </si>
  <si>
    <t>Medre jätkuarendused</t>
  </si>
  <si>
    <t>alustatud ja jätkuvad 2024</t>
  </si>
  <si>
    <t>Mürgistusteabe keskuse andmeladu</t>
  </si>
  <si>
    <t>Jätkusuutlikkuskulud on TEHIK baaseelarvest tagatud.</t>
  </si>
  <si>
    <t>teostatud, sisseostu asemel kasutati TEHIKu tööjõuga</t>
  </si>
  <si>
    <t>EL kliiniliste uuringute määruse rakendamisega seotud IT lahendus</t>
  </si>
  <si>
    <t>projekt mis lõpetatud, eesmärgid saavutatud</t>
  </si>
  <si>
    <t>Samtrack 2 migratsioon Samtrack 1 2023</t>
  </si>
  <si>
    <t>EU veterinaarravimite määruse jõustumine/UPD liidestumine SPOR API v2</t>
  </si>
  <si>
    <t>tesotatud</t>
  </si>
  <si>
    <t>Sotsiaalministeerium /-</t>
  </si>
  <si>
    <t>Taavi Annus</t>
  </si>
  <si>
    <t>E-tervise valitsemisraamistiku rakendamine, tervisevldkonna e-teenuste jätkusuutlikkuse tagamine läbi tugeva, selge ja koostööl põhineva strateegilise juhtimise</t>
  </si>
  <si>
    <t>2023. aastal on valitsemismudeli rakendamisega edukalt jätkatud. Edukalt on tööle rakendatud portfellihalduse protsess ja teenuste arendamist toetav tervisevaldkonna arhitektuuripaneel ja teised toetavad kogud.  Teenuste jätkusuutlikkuse tagamisel on teenused jaotatud teenusgruppideks ning nendele on leitud äriomanikud. Alustatud on teenuste kvaliteedi ja kuluefektiivsuse tõstmise analüüsiga, mille rakendamine algab 2024. aastal.</t>
  </si>
  <si>
    <t>Värbamised lükkusid 2024. aastasse. Raha soovime kasutada 2024 ja 2025 aastal</t>
  </si>
  <si>
    <t xml:space="preserve">Rahastus oli planeeritud kohe 2024. aastasse. HSPA mõõdikud on välja töötatud, praegu toimub indikaatorite kirjeldamine. Rahastus on planeeritud indikaatorite juhtimislaua arendamiseks/loomiseks. Esimene mõõtmine 2024 lõpus, peale seda näidikulaud. </t>
  </si>
  <si>
    <t>Valdkondliku digipöörde tegevuskava – Sotsiaalministeerium</t>
  </si>
  <si>
    <r>
      <t>Digipöörde eesmärk:</t>
    </r>
    <r>
      <rPr>
        <sz val="11"/>
        <rFont val="Calibri"/>
        <family val="2"/>
        <charset val="186"/>
        <scheme val="minor"/>
      </rPr>
      <t> </t>
    </r>
  </si>
  <si>
    <t xml:space="preserve">Tervisevaldkond – Valdkonna digipöörde eesmärk aastaks 2027 – Eesti inimestel on tänu tervisevaldkonna infosüsteemidele parem ülevaade ja suurem kontroll oma tervise üle; nutikad lahendused tagavad ravi järjepidevuse, parendavad kliinilisi protsesse ning säästavad inimestega tegelevate spetsialistide aega; kvaliteetne ja kättesaadav terviseandmestik võimaldab teha kiiremaid ja paremaid otsuseid, tagada teenuste kvaliteedi ja toetab teadus- ja arendustegevust. 
Sotsiaalkaitse valdkond - Valdkonna digipöörde eesmärk aastaks 2028 – Eesti inimestel on sotsiaalkaitse valdkonna teenused kiirelt ja mugavalt kättesaadavad, teenused annavad inimesele tervikvaate, valdkonna teenused on 50% ulatuses proaktiivsed ja sündmuspõhised, IT-süsteemide arendamise tulemusena on vähenenud menetlejate ja KOV menetlusprotsessi peale kulutatav aeg kuni 30%, kogutud andmed on võrreldavad. </t>
  </si>
  <si>
    <r>
      <t>Digipöörde tegevuskava eesmärk:</t>
    </r>
    <r>
      <rPr>
        <sz val="11"/>
        <color theme="1"/>
        <rFont val="Calibri"/>
        <family val="2"/>
        <charset val="186"/>
        <scheme val="minor"/>
      </rPr>
      <t> </t>
    </r>
  </si>
  <si>
    <t xml:space="preserve">Sotsiaalministeeriumi valdkondliku digipöörde 2023-2025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</si>
  <si>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</si>
  <si>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</si>
  <si>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</si>
  <si>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</si>
  <si>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</si>
  <si>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</si>
  <si>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 xml:space="preserve">Sotsiaalministeeriumi valdkondliku digipöörde sotsiaalkaitse valdkonnna 2023-2025 maksumus ilma käibemaksuta: </t>
  </si>
  <si>
    <t xml:space="preserve">Sotsiaalministeeriumi valdkondliku digipöörde tervise valdkonnna 2023-2025 maksumus ilma käibemaksuta: </t>
  </si>
  <si>
    <t>Sotsiaalministeeriumi valdkondliku digipöörde sotsiaalkaitse valdkonna 2023-2025 SF 2021-2027 toetuse summa koos käibemaksuga:</t>
  </si>
  <si>
    <t>Sotsiaalministeeriumi valdkondliku digipöörde tervisee valdkonna 2023-2025 SF 2021-2027 toetuse summa koos käibemaksuga:</t>
  </si>
  <si>
    <r>
      <t>2025</t>
    </r>
    <r>
      <rPr>
        <sz val="11"/>
        <rFont val="Calibri"/>
        <family val="2"/>
        <charset val="186"/>
        <scheme val="minor"/>
      </rPr>
      <t> </t>
    </r>
  </si>
  <si>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</si>
  <si>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</si>
  <si>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</si>
  <si>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Ministeerium (elluviija) /
partner</t>
  </si>
  <si>
    <t>Rahastuse allikas / meetme tegevus (SF)</t>
  </si>
  <si>
    <t>2023 kokku</t>
  </si>
  <si>
    <t>2024 kokku</t>
  </si>
  <si>
    <t>2025 kokku</t>
  </si>
  <si>
    <t>(EA konto)</t>
  </si>
  <si>
    <t>KOKKU</t>
  </si>
  <si>
    <t>Summa koos käibemaksuga:</t>
  </si>
  <si>
    <t>Sotsiaalministeeriumi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</si>
  <si>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</si>
  <si>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</si>
  <si>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</si>
  <si>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</si>
  <si>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</si>
  <si>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</si>
  <si>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</si>
  <si>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Sotsiaalministeerium</t>
  </si>
  <si>
    <t>x</t>
  </si>
  <si>
    <t>EELARVE KOKKU</t>
  </si>
  <si>
    <t>2023
algtase</t>
  </si>
  <si>
    <t>2024
sihttase</t>
  </si>
  <si>
    <t>2025
sihttase</t>
  </si>
  <si>
    <t>2026
sihttase</t>
  </si>
  <si>
    <t>2027
sihttase</t>
  </si>
  <si>
    <t>2028
sihttase</t>
  </si>
  <si>
    <t>2029
sihttase</t>
  </si>
  <si>
    <t>2030
lõpptase</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</si>
  <si>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</si>
  <si>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</si>
  <si>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</si>
  <si>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</si>
  <si>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</si>
  <si>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</si>
  <si>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</si>
  <si>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</si>
  <si>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</si>
  <si>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t>
  </si>
  <si>
    <r>
      <t>Majandusliku sisu lõikes</t>
    </r>
    <r>
      <rPr>
        <sz val="10"/>
        <color rgb="FF000000"/>
        <rFont val="Calibri"/>
        <family val="2"/>
        <charset val="186"/>
        <scheme val="minor"/>
      </rPr>
      <t>​</t>
    </r>
  </si>
  <si>
    <t>Investeeringud​</t>
  </si>
  <si>
    <t>Tööjõukulud</t>
  </si>
  <si>
    <t>​Majandamiskulud​</t>
  </si>
  <si>
    <t>​Toetused ja muud</t>
  </si>
  <si>
    <t>2024 eelarve</t>
  </si>
  <si>
    <r>
      <t>Liikide lõikes</t>
    </r>
    <r>
      <rPr>
        <sz val="10"/>
        <color rgb="FF000000"/>
        <rFont val="Calibri"/>
        <family val="2"/>
        <charset val="186"/>
        <scheme val="minor"/>
      </rPr>
      <t>​</t>
    </r>
  </si>
  <si>
    <r>
      <t>Majandusliku sisu lõikes</t>
    </r>
    <r>
      <rPr>
        <sz val="10"/>
        <color rgb="FF000000"/>
        <rFont val="Calibri"/>
        <family val="2"/>
        <charset val="186"/>
        <scheme val="minor"/>
      </rPr>
      <t>​</t>
    </r>
  </si>
  <si>
    <t>Personali muutus</t>
  </si>
  <si>
    <r>
      <t>Valitsemisala IKT töötajate arv</t>
    </r>
    <r>
      <rPr>
        <sz val="11"/>
        <color rgb="FF000000"/>
        <rFont val="Calibri"/>
        <family val="2"/>
      </rPr>
      <t>​</t>
    </r>
  </si>
  <si>
    <r>
      <t>01.01.2025*</t>
    </r>
    <r>
      <rPr>
        <sz val="11"/>
        <color rgb="FF000000"/>
        <rFont val="Calibri"/>
        <family val="2"/>
      </rPr>
      <t>​</t>
    </r>
  </si>
  <si>
    <r>
      <t>01.01.2026*</t>
    </r>
    <r>
      <rPr>
        <sz val="11"/>
        <color rgb="FF000000"/>
        <rFont val="Calibri"/>
        <family val="2"/>
      </rPr>
      <t>​</t>
    </r>
  </si>
  <si>
    <r>
      <t>01.01.2027*</t>
    </r>
    <r>
      <rPr>
        <sz val="11"/>
        <color rgb="FF000000"/>
        <rFont val="Calibri"/>
        <family val="2"/>
      </rPr>
      <t>​</t>
    </r>
  </si>
  <si>
    <t>Töötajate arv ​</t>
  </si>
  <si>
    <t>Kasv​ (%, võrrelduna eelmise aastaga)</t>
  </si>
  <si>
    <t>* Prognoos</t>
  </si>
  <si>
    <t>Seisuga 01.01.2023</t>
  </si>
  <si>
    <t>Seisuga 01.01.2024</t>
  </si>
  <si>
    <t>IKT Personal</t>
  </si>
  <si>
    <t>Täidetud/olemas</t>
  </si>
  <si>
    <t>Täitmata</t>
  </si>
  <si>
    <t>Andmeait</t>
  </si>
  <si>
    <t>Andmeanalüüs ja -seire</t>
  </si>
  <si>
    <t>IT - andmeturve</t>
  </si>
  <si>
    <t>IT-arvutigraafika</t>
  </si>
  <si>
    <t>IT - juhtimine</t>
  </si>
  <si>
    <t>IT - konsultandid</t>
  </si>
  <si>
    <t>IT - projektijuhtimine</t>
  </si>
  <si>
    <t>IT - süsteemiadministratsioon</t>
  </si>
  <si>
    <t>IT - süsteemianalüüs</t>
  </si>
  <si>
    <t>IT - süsteemiarhitektuur</t>
  </si>
  <si>
    <t>IT - tarkvara programmeerimine</t>
  </si>
  <si>
    <t>IT - teenuste tugi</t>
  </si>
  <si>
    <t>IT - testimine</t>
  </si>
  <si>
    <t>Organisatsiooni protsessid</t>
  </si>
  <si>
    <t>…</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</si>
  <si>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</si>
  <si>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</si>
  <si>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</si>
  <si>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</si>
  <si>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</si>
  <si>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</si>
  <si>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</si>
  <si>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</si>
  <si>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</si>
  <si>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Projektijuhtimine</t>
  </si>
  <si>
    <t>Andmehaldur</t>
  </si>
  <si>
    <t>Süsteemiadministratsioon</t>
  </si>
  <si>
    <t>Andmeteadur (teabe)</t>
  </si>
  <si>
    <t>Süsteemianalüüs</t>
  </si>
  <si>
    <t>DEVOPS</t>
  </si>
  <si>
    <t>Süsteemiarhitektuur</t>
  </si>
  <si>
    <t>Haldus</t>
  </si>
  <si>
    <t>Tarkvara programmeerimine</t>
  </si>
  <si>
    <t>Helpdesk</t>
  </si>
  <si>
    <t>Teenuste tugi</t>
  </si>
  <si>
    <t>infoturbe logianalüütik</t>
  </si>
  <si>
    <t>Testimine</t>
  </si>
  <si>
    <t>Infoturbespetsialist</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</si>
  <si>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</si>
  <si>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</si>
  <si>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</si>
  <si>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</si>
  <si>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</si>
  <si>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</si>
  <si>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</si>
  <si>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</si>
  <si>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</si>
  <si>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</si>
  <si>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</si>
  <si>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</si>
  <si>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</si>
  <si>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 xml:space="preserve">Tootejuhtimine </t>
  </si>
  <si>
    <t>Algatus</t>
  </si>
  <si>
    <t>HSPA mõõdikute mõõtmisprotsesside väljatöötamine</t>
  </si>
  <si>
    <t>Digipöörde elluviimiseks vajalik personal (digipöördest rahastatud)</t>
  </si>
  <si>
    <t>Projekti/tegevuse nimi</t>
  </si>
  <si>
    <t>Digipöörde elluviimisega seotud personal tööperede lõikes</t>
  </si>
  <si>
    <t xml:space="preserve">Digipöörde elluviimisega seotud personal tööperede lõikes </t>
  </si>
  <si>
    <t>Mis aastal on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</si>
  <si>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</si>
  <si>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</si>
  <si>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</si>
  <si>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</si>
  <si>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</si>
  <si>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</si>
  <si>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</si>
  <si>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</si>
  <si>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Tööjõukulu digipöördes</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</si>
  <si>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</si>
  <si>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</si>
  <si>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</si>
  <si>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</si>
  <si>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</si>
  <si>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</si>
  <si>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</si>
  <si>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</si>
  <si>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</si>
  <si>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</si>
  <si>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</si>
  <si>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</si>
  <si>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</si>
  <si>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jah</t>
  </si>
  <si>
    <t>värvatud</t>
  </si>
  <si>
    <t>kogu digipöörde ajaks</t>
  </si>
  <si>
    <t>SF</t>
  </si>
  <si>
    <t>tuleb värvata</t>
  </si>
  <si>
    <t>Ravimiameti analüüsilahenduse loomine </t>
  </si>
  <si>
    <t>IT-juhtimine</t>
  </si>
  <si>
    <t>koormus digipöördes alates 2024, panustab 0,5 koormusega sotsiaalkaitse digipöördesse ja 0,5 koormusega tervise valdkonna digipöördesse</t>
  </si>
  <si>
    <t>Poliitikakujundamine</t>
  </si>
  <si>
    <t>alates augustist 2024</t>
  </si>
  <si>
    <t>alates maist 2024</t>
  </si>
  <si>
    <t>andmekorraldusanalüütik</t>
  </si>
  <si>
    <t>andmelao arendaja</t>
  </si>
  <si>
    <t xml:space="preserve">Muud digipöörde elluviimist toetavad rollid </t>
  </si>
  <si>
    <t>RE/Muu</t>
  </si>
  <si>
    <t>Jah/ei</t>
  </si>
  <si>
    <t>varieeruv, sõltuvalt projekti etapist</t>
  </si>
  <si>
    <t>Äri- ja tegevusvaldkonna analüüs</t>
  </si>
  <si>
    <t>Digipöörde arendusalgatuste elluviimiseks vajalik personal</t>
  </si>
  <si>
    <t>GOV SSO</t>
  </si>
  <si>
    <t>Muud digipöörde elluviimist toetavad rollid (ei ole ainult ühe arendusalgatusega seotud)</t>
  </si>
  <si>
    <t>Mitmed projektid</t>
  </si>
  <si>
    <t>RE/SOM TAT</t>
  </si>
  <si>
    <t>panustab digipöörde RE ja SOM TAT rahastusega projektidesse</t>
  </si>
  <si>
    <t>panustab digipöörde RE rahastusega projektidesse</t>
  </si>
  <si>
    <t>panustab digipöörde RE ja SOM TAT rahastusega algatustesse</t>
  </si>
  <si>
    <t>jah/ei</t>
  </si>
  <si>
    <t>RE</t>
  </si>
  <si>
    <t>panustab digipöörde RE rahastusega algatustesse</t>
  </si>
  <si>
    <t>Isikustatud sotsiaalmaksu arendus*</t>
  </si>
  <si>
    <t>GOV SSO arendus*</t>
  </si>
  <si>
    <t>Terviseteadlik kodanik/ Keskkonnatervise infosüsteem*</t>
  </si>
  <si>
    <t>Uus nakkushaiguste infosüsteem*</t>
  </si>
  <si>
    <t>Uue põlvkonna meditsiiniseadmete ja abivahendite andmekogu (MSA)*</t>
  </si>
  <si>
    <t>Tulenevalt majandus- ja infotehnoloogiaministri 25. augusti 2023. a käskkirjast „Toetuse andmise tingimused valdkondlike digipöörete toetamiseks“ allkirjastan/kinnitan Sotsiaalministeeriumi digipöörde tegevuskava.</t>
  </si>
  <si>
    <t xml:space="preserve">Veerg: „Rahastuse allikas / meetme tegevus (SF)“: 
1 – (Baaseelarve, RES, VV reserv) – summad kajastatakse ilma käibemaksuta ja käibemaks arvestatakse juurde riigieelarvest; 
2 – (SF, nii 14-20, kui 21-27) – toetuse summad kajastatakse koos käibemaksuga, käibemaks on osa toetusest; 
3 – (muu rahastus) – summad kajastatakse ilma käibemaksuta, elluviija vastutab sõltuvalt rahastusest õige käibemaksu kulude katmise eest. </t>
  </si>
  <si>
    <t>Liisa-Ly Pakosta</t>
  </si>
  <si>
    <t>justiits- ja digiminister</t>
  </si>
  <si>
    <r>
      <t>(allkirjastatud digitaalselt)</t>
    </r>
    <r>
      <rPr>
        <sz val="9"/>
        <color rgb="FF000000"/>
        <rFont val="Calibri"/>
        <family val="2"/>
        <charset val="186"/>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</si>
</sst>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64"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b/>
      <sz val="11"/>
      <name val="Calibri"/>
      <family val="2"/>
      <charset val="186"/>
      <scheme val="minor"/>
    </font>
    <font>
      <b/>
      <i/>
      <sz val="11"/>
      <name val="Calibri"/>
      <family val="2"/>
      <charset val="186"/>
    </font>
    <font>
      <b/>
      <u/>
      <sz val="11"/>
      <name val="Calibri"/>
      <family val="2"/>
      <charset val="186"/>
      <scheme val="minor"/>
    </font>
    <font>
      <i/>
      <sz val="11"/>
      <name val="Calibri"/>
      <family val="2"/>
      <charset val="186"/>
      <scheme val="minor"/>
    </font>
    <font>
      <sz val="11"/>
      <color theme="1"/>
      <name val="Calibri"/>
      <family val="2"/>
    </font>
    <font>
      <sz val="11"/>
      <color rgb="FF000000"/>
      <name val="Calibri"/>
      <family val="2"/>
    </font>
    <font>
      <b/>
      <sz val="11"/>
      <color rgb="FF000000"/>
      <name val="Calibri"/>
      <family val="2"/>
    </font>
    <font>
      <b/>
      <sz val="12"/>
      <color theme="1"/>
      <name val="Calibri"/>
      <family val="2"/>
    </font>
    <font>
      <sz val="11"/>
      <color rgb="FF0070C0"/>
      <name val="Calibri"/>
      <family val="2"/>
    </font>
    <font>
      <sz val="11"/>
      <color rgb="FF0070C0"/>
      <name val="Calibri"/>
      <family val="2"/>
      <scheme val="minor"/>
    </font>
    <font>
      <sz val="11"/>
      <color rgb="FF0070C0"/>
      <name val="Calibri"/>
      <family val="2"/>
      <charset val="186"/>
      <scheme val="minor"/>
    </font>
    <font>
      <sz val="11"/>
      <color rgb="FF4472C4"/>
      <name val="Calibri"/>
      <family val="2"/>
      <charset val="186"/>
      <scheme val="minor"/>
    </font>
    <font>
      <b/>
      <sz val="11"/>
      <name val="Calibri"/>
      <family val="2"/>
      <scheme val="minor"/>
    </font>
    <font>
      <b/>
      <sz val="9"/>
      <name val="Calibri"/>
      <family val="2"/>
      <charset val="186"/>
      <scheme val="minor"/>
    </font>
    <font>
      <i/>
      <sz val="9"/>
      <name val="Calibri"/>
      <family val="2"/>
      <charset val="186"/>
      <scheme val="minor"/>
    </font>
    <font>
      <sz val="12"/>
      <color rgb="FFFF0000"/>
      <name val="Calibri"/>
      <family val="2"/>
    </font>
    <font>
      <i/>
      <sz val="9"/>
      <color rgb="FF000000"/>
      <name val="Calibri"/>
      <family val="2"/>
      <charset val="186"/>
      <scheme val="minor"/>
    </font>
    <font>
      <sz val="9"/>
      <color rgb="FF000000"/>
      <name val="Calibri"/>
      <family val="2"/>
      <charset val="186"/>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A9D08E"/>
        <bgColor rgb="FF000000"/>
      </patternFill>
    </fill>
    <fill>
      <patternFill patternType="solid">
        <fgColor rgb="FFE7E6E6"/>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10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rgb="FF000000"/>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indexed="64"/>
      </right>
      <top style="thin">
        <color indexed="64"/>
      </top>
      <bottom style="medium">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indexed="64"/>
      </top>
      <bottom style="medium">
        <color rgb="FF000000"/>
      </bottom>
      <diagonal/>
    </border>
  </borders>
  <cellStyleXfs count="2">
    <xf numFmtId="0" fontId="0" fillId="0" borderId="0"/>
    <xf numFmtId="0" fontId="22" fillId="5" borderId="0" applyNumberFormat="0" applyBorder="0" applyAlignment="0" applyProtection="0"/>
  </cellStyleXfs>
  <cellXfs count="820">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19" fillId="0" borderId="17" xfId="0" applyNumberFormat="1" applyFont="1" applyBorder="1" applyAlignment="1">
      <alignment vertical="top"/>
    </xf>
    <xf numFmtId="3" fontId="19" fillId="0" borderId="15" xfId="0" applyNumberFormat="1" applyFont="1" applyBorder="1" applyAlignment="1">
      <alignment vertical="top"/>
    </xf>
    <xf numFmtId="3" fontId="19" fillId="0" borderId="35" xfId="0" applyNumberFormat="1" applyFont="1" applyBorder="1" applyAlignment="1">
      <alignment vertical="top"/>
    </xf>
    <xf numFmtId="0" fontId="1" fillId="0" borderId="0" xfId="0" applyFont="1" applyAlignment="1">
      <alignment vertical="top"/>
    </xf>
    <xf numFmtId="0" fontId="18"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4" fillId="0" borderId="28" xfId="0" applyFont="1" applyBorder="1" applyAlignment="1">
      <alignment horizontal="center" vertical="top" wrapText="1"/>
    </xf>
    <xf numFmtId="0" fontId="24" fillId="0" borderId="51" xfId="0" applyFont="1" applyBorder="1" applyAlignment="1">
      <alignment horizontal="center" vertical="top" wrapText="1"/>
    </xf>
    <xf numFmtId="0" fontId="24" fillId="0" borderId="34" xfId="0" applyFont="1" applyBorder="1" applyAlignment="1">
      <alignment horizontal="left" vertical="top" wrapText="1"/>
    </xf>
    <xf numFmtId="3" fontId="24" fillId="0" borderId="33" xfId="0" applyNumberFormat="1" applyFont="1" applyBorder="1" applyAlignment="1">
      <alignment vertical="top" wrapText="1"/>
    </xf>
    <xf numFmtId="3" fontId="24" fillId="0" borderId="53" xfId="0" applyNumberFormat="1" applyFont="1" applyBorder="1" applyAlignment="1">
      <alignment vertical="top" wrapText="1"/>
    </xf>
    <xf numFmtId="0" fontId="0" fillId="0" borderId="54" xfId="0" applyBorder="1" applyAlignment="1">
      <alignment vertical="top" wrapText="1"/>
    </xf>
    <xf numFmtId="3" fontId="25"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4" xfId="0" applyFont="1" applyBorder="1" applyAlignment="1">
      <alignment horizontal="center" vertical="top" wrapText="1"/>
    </xf>
    <xf numFmtId="0" fontId="24" fillId="0" borderId="23" xfId="0" applyFont="1" applyBorder="1" applyAlignment="1">
      <alignment horizontal="left" vertical="top" wrapText="1"/>
    </xf>
    <xf numFmtId="0" fontId="11" fillId="0" borderId="56" xfId="0" applyFont="1" applyBorder="1" applyAlignment="1">
      <alignment horizontal="center" vertical="top" wrapText="1"/>
    </xf>
    <xf numFmtId="0" fontId="11" fillId="0" borderId="57"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3" fillId="0" borderId="0" xfId="0" applyFont="1" applyAlignment="1">
      <alignment vertical="top" wrapText="1"/>
    </xf>
    <xf numFmtId="0" fontId="29" fillId="6" borderId="60" xfId="0" applyFont="1" applyFill="1" applyBorder="1" applyAlignment="1">
      <alignment vertical="top" wrapText="1"/>
    </xf>
    <xf numFmtId="3" fontId="31" fillId="7" borderId="62" xfId="0" applyNumberFormat="1" applyFont="1" applyFill="1" applyBorder="1" applyAlignment="1">
      <alignment vertical="top"/>
    </xf>
    <xf numFmtId="3" fontId="29" fillId="7" borderId="27" xfId="0" applyNumberFormat="1" applyFont="1" applyFill="1" applyBorder="1" applyAlignment="1">
      <alignment vertical="top"/>
    </xf>
    <xf numFmtId="0" fontId="31" fillId="7" borderId="27" xfId="0" applyFont="1" applyFill="1" applyBorder="1" applyAlignment="1">
      <alignment vertical="top"/>
    </xf>
    <xf numFmtId="0" fontId="29" fillId="7" borderId="27" xfId="0" applyFont="1" applyFill="1" applyBorder="1" applyAlignment="1">
      <alignment vertical="top"/>
    </xf>
    <xf numFmtId="0" fontId="31" fillId="7" borderId="66" xfId="0" applyFont="1" applyFill="1" applyBorder="1" applyAlignment="1">
      <alignment vertical="top"/>
    </xf>
    <xf numFmtId="0" fontId="31" fillId="7" borderId="29" xfId="0" applyFont="1" applyFill="1" applyBorder="1" applyAlignment="1">
      <alignment vertical="top"/>
    </xf>
    <xf numFmtId="0" fontId="31" fillId="7" borderId="54" xfId="0" applyFont="1" applyFill="1" applyBorder="1" applyAlignment="1">
      <alignment vertical="top"/>
    </xf>
    <xf numFmtId="0" fontId="0" fillId="0" borderId="54" xfId="0" applyBorder="1" applyAlignment="1">
      <alignment vertical="top"/>
    </xf>
    <xf numFmtId="0" fontId="0" fillId="0" borderId="13" xfId="0" applyBorder="1" applyAlignment="1">
      <alignment horizontal="left" vertical="top"/>
    </xf>
    <xf numFmtId="0" fontId="0" fillId="0" borderId="54"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1" xfId="0" applyNumberFormat="1" applyFont="1" applyFill="1" applyBorder="1" applyAlignment="1">
      <alignment horizontal="center" vertical="top" wrapText="1"/>
    </xf>
    <xf numFmtId="0" fontId="34" fillId="0" borderId="40" xfId="0" applyFont="1" applyBorder="1" applyAlignment="1">
      <alignment vertical="top" wrapText="1"/>
    </xf>
    <xf numFmtId="0" fontId="34" fillId="0" borderId="73" xfId="0" applyFont="1" applyBorder="1" applyAlignment="1">
      <alignment vertical="top" wrapText="1"/>
    </xf>
    <xf numFmtId="0" fontId="4" fillId="0" borderId="0" xfId="0" applyFont="1" applyAlignment="1">
      <alignment vertical="top"/>
    </xf>
    <xf numFmtId="3" fontId="27" fillId="7" borderId="27" xfId="0" applyNumberFormat="1" applyFont="1" applyFill="1" applyBorder="1" applyAlignment="1">
      <alignment vertical="top"/>
    </xf>
    <xf numFmtId="0" fontId="26" fillId="7" borderId="27" xfId="0" applyFont="1" applyFill="1" applyBorder="1" applyAlignment="1">
      <alignment vertical="top"/>
    </xf>
    <xf numFmtId="0" fontId="27" fillId="7" borderId="27" xfId="0" applyFont="1" applyFill="1" applyBorder="1" applyAlignment="1">
      <alignment vertical="top"/>
    </xf>
    <xf numFmtId="0" fontId="26" fillId="7" borderId="66" xfId="0" applyFont="1" applyFill="1" applyBorder="1" applyAlignment="1">
      <alignment vertical="top"/>
    </xf>
    <xf numFmtId="0" fontId="26" fillId="7" borderId="29" xfId="0" applyFont="1" applyFill="1" applyBorder="1" applyAlignment="1">
      <alignment vertical="top"/>
    </xf>
    <xf numFmtId="3" fontId="26" fillId="7" borderId="62" xfId="0" applyNumberFormat="1" applyFont="1" applyFill="1" applyBorder="1" applyAlignment="1">
      <alignment vertical="top"/>
    </xf>
    <xf numFmtId="0" fontId="26" fillId="7" borderId="54" xfId="0" applyFont="1" applyFill="1" applyBorder="1" applyAlignment="1">
      <alignment vertical="top"/>
    </xf>
    <xf numFmtId="0" fontId="26" fillId="7" borderId="65" xfId="0" applyFont="1" applyFill="1" applyBorder="1" applyAlignment="1">
      <alignment vertical="top"/>
    </xf>
    <xf numFmtId="3" fontId="26" fillId="7" borderId="64" xfId="0" applyNumberFormat="1" applyFont="1" applyFill="1" applyBorder="1" applyAlignment="1">
      <alignment vertical="top"/>
    </xf>
    <xf numFmtId="0" fontId="26" fillId="7" borderId="58" xfId="0" applyFont="1" applyFill="1" applyBorder="1" applyAlignment="1">
      <alignment vertical="top"/>
    </xf>
    <xf numFmtId="3" fontId="27" fillId="7" borderId="61" xfId="0" applyNumberFormat="1" applyFont="1" applyFill="1" applyBorder="1" applyAlignment="1">
      <alignment vertical="top"/>
    </xf>
    <xf numFmtId="0" fontId="27" fillId="7" borderId="61" xfId="0" applyFont="1" applyFill="1" applyBorder="1" applyAlignment="1">
      <alignment vertical="top"/>
    </xf>
    <xf numFmtId="3" fontId="26" fillId="7" borderId="56" xfId="0" applyNumberFormat="1" applyFont="1" applyFill="1" applyBorder="1" applyAlignment="1">
      <alignment vertical="top"/>
    </xf>
    <xf numFmtId="0" fontId="26" fillId="7" borderId="56" xfId="0" applyFont="1" applyFill="1" applyBorder="1" applyAlignment="1">
      <alignment vertical="top"/>
    </xf>
    <xf numFmtId="3" fontId="26" fillId="7" borderId="67" xfId="0" applyNumberFormat="1" applyFont="1" applyFill="1" applyBorder="1" applyAlignment="1">
      <alignment vertical="top"/>
    </xf>
    <xf numFmtId="0" fontId="26" fillId="7" borderId="57" xfId="0" applyFont="1" applyFill="1" applyBorder="1" applyAlignment="1">
      <alignment vertical="top"/>
    </xf>
    <xf numFmtId="3" fontId="26" fillId="7" borderId="65" xfId="0" applyNumberFormat="1" applyFont="1" applyFill="1" applyBorder="1" applyAlignment="1">
      <alignment vertical="top"/>
    </xf>
    <xf numFmtId="3" fontId="27" fillId="7" borderId="45" xfId="0" applyNumberFormat="1" applyFont="1" applyFill="1" applyBorder="1" applyAlignment="1">
      <alignment vertical="top"/>
    </xf>
    <xf numFmtId="0" fontId="26" fillId="7" borderId="78" xfId="0" applyFont="1" applyFill="1" applyBorder="1" applyAlignment="1">
      <alignment vertical="top"/>
    </xf>
    <xf numFmtId="3" fontId="26" fillId="7" borderId="79" xfId="0" applyNumberFormat="1" applyFont="1" applyFill="1" applyBorder="1" applyAlignment="1">
      <alignment vertical="top"/>
    </xf>
    <xf numFmtId="0" fontId="26" fillId="7" borderId="80" xfId="0" applyFont="1" applyFill="1" applyBorder="1" applyAlignment="1">
      <alignment vertical="top"/>
    </xf>
    <xf numFmtId="3" fontId="26" fillId="7" borderId="2" xfId="0" applyNumberFormat="1" applyFont="1" applyFill="1" applyBorder="1" applyAlignment="1">
      <alignment vertical="top"/>
    </xf>
    <xf numFmtId="0" fontId="26" fillId="7" borderId="74" xfId="0" applyFont="1" applyFill="1" applyBorder="1" applyAlignment="1">
      <alignment vertical="top"/>
    </xf>
    <xf numFmtId="0" fontId="0" fillId="0" borderId="78" xfId="0" applyBorder="1" applyAlignment="1">
      <alignment vertical="top"/>
    </xf>
    <xf numFmtId="0" fontId="0" fillId="0" borderId="44" xfId="0" applyBorder="1" applyAlignment="1">
      <alignment vertical="top"/>
    </xf>
    <xf numFmtId="0" fontId="26" fillId="7" borderId="44" xfId="0" applyFont="1" applyFill="1" applyBorder="1" applyAlignment="1">
      <alignment vertical="top"/>
    </xf>
    <xf numFmtId="0" fontId="27" fillId="7" borderId="78" xfId="0" applyFont="1" applyFill="1" applyBorder="1" applyAlignment="1">
      <alignment vertical="top"/>
    </xf>
    <xf numFmtId="3" fontId="24" fillId="0" borderId="30" xfId="0" applyNumberFormat="1" applyFont="1" applyBorder="1" applyAlignment="1">
      <alignment horizontal="right" vertical="top" wrapText="1"/>
    </xf>
    <xf numFmtId="3" fontId="24" fillId="0" borderId="36" xfId="0" applyNumberFormat="1" applyFont="1" applyBorder="1" applyAlignment="1">
      <alignment horizontal="right" vertical="top" wrapText="1"/>
    </xf>
    <xf numFmtId="0" fontId="35" fillId="0" borderId="52" xfId="0" applyFont="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37"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0" fontId="31" fillId="7" borderId="0" xfId="0" applyFont="1" applyFill="1" applyAlignment="1">
      <alignment vertical="top"/>
    </xf>
    <xf numFmtId="3" fontId="31" fillId="7" borderId="0" xfId="0" applyNumberFormat="1" applyFont="1" applyFill="1" applyAlignment="1">
      <alignment vertical="top"/>
    </xf>
    <xf numFmtId="3" fontId="26" fillId="7" borderId="71" xfId="0" applyNumberFormat="1" applyFont="1" applyFill="1" applyBorder="1" applyAlignment="1">
      <alignment vertical="top"/>
    </xf>
    <xf numFmtId="0" fontId="26" fillId="7" borderId="75" xfId="0" applyFont="1" applyFill="1" applyBorder="1" applyAlignment="1">
      <alignment vertical="top"/>
    </xf>
    <xf numFmtId="3" fontId="27" fillId="7" borderId="70" xfId="0" applyNumberFormat="1" applyFont="1" applyFill="1" applyBorder="1" applyAlignment="1">
      <alignment vertical="top"/>
    </xf>
    <xf numFmtId="0" fontId="26" fillId="7" borderId="81" xfId="0" applyFont="1" applyFill="1" applyBorder="1" applyAlignment="1">
      <alignment vertical="top"/>
    </xf>
    <xf numFmtId="0" fontId="0" fillId="0" borderId="82" xfId="0" applyBorder="1" applyAlignment="1">
      <alignment vertical="top"/>
    </xf>
    <xf numFmtId="0" fontId="41" fillId="0" borderId="0" xfId="0" applyFont="1" applyAlignment="1">
      <alignment horizontal="left" vertical="top" wrapText="1"/>
    </xf>
    <xf numFmtId="0" fontId="0" fillId="0" borderId="11" xfId="0" applyBorder="1" applyAlignment="1">
      <alignment vertical="top"/>
    </xf>
    <xf numFmtId="3" fontId="31" fillId="7" borderId="79" xfId="0" applyNumberFormat="1" applyFont="1" applyFill="1" applyBorder="1" applyAlignment="1">
      <alignment vertical="top"/>
    </xf>
    <xf numFmtId="3" fontId="29" fillId="7" borderId="79" xfId="0" applyNumberFormat="1" applyFont="1" applyFill="1" applyBorder="1" applyAlignment="1">
      <alignment vertical="top"/>
    </xf>
    <xf numFmtId="3" fontId="29" fillId="7" borderId="70" xfId="0" applyNumberFormat="1" applyFont="1" applyFill="1" applyBorder="1" applyAlignment="1">
      <alignment vertical="top"/>
    </xf>
    <xf numFmtId="0" fontId="31" fillId="7" borderId="8" xfId="0" applyFont="1" applyFill="1" applyBorder="1" applyAlignment="1">
      <alignment vertical="top"/>
    </xf>
    <xf numFmtId="3" fontId="29" fillId="7" borderId="8" xfId="0" applyNumberFormat="1" applyFont="1" applyFill="1" applyBorder="1" applyAlignment="1">
      <alignment vertical="top"/>
    </xf>
    <xf numFmtId="0" fontId="29" fillId="7" borderId="8" xfId="0" applyFont="1" applyFill="1" applyBorder="1" applyAlignment="1">
      <alignment vertical="top"/>
    </xf>
    <xf numFmtId="0" fontId="31" fillId="7" borderId="10" xfId="0" applyFont="1" applyFill="1" applyBorder="1" applyAlignment="1">
      <alignment vertical="top"/>
    </xf>
    <xf numFmtId="0" fontId="31" fillId="3" borderId="0" xfId="0" applyFont="1" applyFill="1" applyAlignment="1">
      <alignment vertical="top"/>
    </xf>
    <xf numFmtId="0" fontId="0" fillId="3" borderId="43" xfId="0" applyFill="1" applyBorder="1" applyAlignment="1">
      <alignment vertical="top"/>
    </xf>
    <xf numFmtId="3" fontId="29" fillId="7" borderId="41" xfId="0" applyNumberFormat="1" applyFont="1" applyFill="1" applyBorder="1" applyAlignment="1">
      <alignment vertical="top"/>
    </xf>
    <xf numFmtId="0" fontId="0" fillId="3" borderId="79" xfId="0" applyFill="1" applyBorder="1" applyAlignment="1">
      <alignment vertical="top"/>
    </xf>
    <xf numFmtId="0" fontId="0" fillId="3" borderId="2" xfId="0" applyFill="1" applyBorder="1" applyAlignment="1">
      <alignment vertical="top"/>
    </xf>
    <xf numFmtId="0" fontId="29" fillId="10" borderId="28" xfId="0" applyFont="1" applyFill="1" applyBorder="1" applyAlignment="1">
      <alignment horizontal="center" vertical="top"/>
    </xf>
    <xf numFmtId="0" fontId="31" fillId="10" borderId="27" xfId="0" applyFont="1" applyFill="1" applyBorder="1" applyAlignment="1">
      <alignment horizontal="center" vertical="top"/>
    </xf>
    <xf numFmtId="0" fontId="31"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28" fillId="3" borderId="43" xfId="0" applyFont="1" applyFill="1" applyBorder="1" applyAlignment="1">
      <alignment horizontal="left" vertical="top"/>
    </xf>
    <xf numFmtId="0" fontId="0" fillId="3" borderId="54" xfId="0" applyFill="1" applyBorder="1" applyAlignment="1">
      <alignment vertical="top"/>
    </xf>
    <xf numFmtId="0" fontId="31" fillId="7" borderId="81" xfId="0" applyFont="1" applyFill="1" applyBorder="1" applyAlignment="1">
      <alignment vertical="top"/>
    </xf>
    <xf numFmtId="0" fontId="29" fillId="7" borderId="81" xfId="0" applyFont="1" applyFill="1" applyBorder="1" applyAlignment="1">
      <alignment vertical="top"/>
    </xf>
    <xf numFmtId="0" fontId="0" fillId="0" borderId="19" xfId="0" applyBorder="1" applyAlignment="1">
      <alignment vertical="top"/>
    </xf>
    <xf numFmtId="0" fontId="0" fillId="0" borderId="80" xfId="0" applyBorder="1" applyAlignment="1">
      <alignment vertical="top"/>
    </xf>
    <xf numFmtId="3" fontId="27" fillId="7" borderId="87" xfId="0" applyNumberFormat="1" applyFont="1" applyFill="1" applyBorder="1" applyAlignment="1">
      <alignment vertical="top"/>
    </xf>
    <xf numFmtId="0" fontId="26" fillId="7" borderId="88" xfId="0" applyFont="1" applyFill="1" applyBorder="1" applyAlignment="1">
      <alignment vertical="top"/>
    </xf>
    <xf numFmtId="0" fontId="27" fillId="7" borderId="81" xfId="0" applyFont="1" applyFill="1" applyBorder="1" applyAlignment="1">
      <alignment vertical="top"/>
    </xf>
    <xf numFmtId="0" fontId="27" fillId="7" borderId="88" xfId="0" applyFont="1" applyFill="1" applyBorder="1" applyAlignment="1">
      <alignment vertical="top"/>
    </xf>
    <xf numFmtId="0" fontId="41" fillId="0" borderId="3" xfId="0" applyFont="1" applyBorder="1" applyAlignment="1">
      <alignment horizontal="left" vertical="top" wrapText="1"/>
    </xf>
    <xf numFmtId="0" fontId="42" fillId="0" borderId="3" xfId="0" applyFont="1" applyBorder="1" applyAlignment="1">
      <alignment horizontal="right" vertical="top" wrapText="1"/>
    </xf>
    <xf numFmtId="3" fontId="27" fillId="7" borderId="79" xfId="0" applyNumberFormat="1" applyFont="1" applyFill="1" applyBorder="1" applyAlignment="1">
      <alignment vertical="top"/>
    </xf>
    <xf numFmtId="0" fontId="0" fillId="3" borderId="45" xfId="0" applyFill="1" applyBorder="1" applyAlignment="1">
      <alignment vertical="top"/>
    </xf>
    <xf numFmtId="0" fontId="0" fillId="3" borderId="11" xfId="0" applyFill="1" applyBorder="1" applyAlignment="1">
      <alignment vertical="top"/>
    </xf>
    <xf numFmtId="0" fontId="2" fillId="0" borderId="0" xfId="0" applyFont="1" applyAlignment="1">
      <alignment vertical="top"/>
    </xf>
    <xf numFmtId="0" fontId="29" fillId="6" borderId="84" xfId="0" applyFont="1" applyFill="1" applyBorder="1" applyAlignment="1">
      <alignment horizontal="center" vertical="top" wrapText="1"/>
    </xf>
    <xf numFmtId="0" fontId="43" fillId="3" borderId="54" xfId="0" applyFont="1" applyFill="1" applyBorder="1" applyAlignment="1">
      <alignment vertical="top"/>
    </xf>
    <xf numFmtId="0" fontId="43" fillId="3" borderId="56" xfId="0" applyFont="1" applyFill="1" applyBorder="1" applyAlignment="1">
      <alignment vertical="top"/>
    </xf>
    <xf numFmtId="0" fontId="43" fillId="3" borderId="27" xfId="0" applyFont="1" applyFill="1" applyBorder="1" applyAlignment="1">
      <alignment vertical="top"/>
    </xf>
    <xf numFmtId="0" fontId="0" fillId="3" borderId="20" xfId="0" applyFill="1" applyBorder="1" applyAlignment="1">
      <alignment vertical="top"/>
    </xf>
    <xf numFmtId="0" fontId="0" fillId="3" borderId="55" xfId="0" applyFill="1" applyBorder="1" applyAlignment="1">
      <alignment vertical="top"/>
    </xf>
    <xf numFmtId="3" fontId="44" fillId="0" borderId="3" xfId="0" applyNumberFormat="1" applyFont="1" applyBorder="1" applyAlignment="1">
      <alignment vertical="top"/>
    </xf>
    <xf numFmtId="0" fontId="44" fillId="0" borderId="3" xfId="0" applyFont="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5" fillId="0" borderId="42" xfId="0" applyNumberFormat="1" applyFont="1" applyBorder="1" applyAlignment="1">
      <alignment vertical="top"/>
    </xf>
    <xf numFmtId="3" fontId="45" fillId="0" borderId="17" xfId="0" applyNumberFormat="1" applyFont="1" applyBorder="1" applyAlignment="1">
      <alignment vertical="top"/>
    </xf>
    <xf numFmtId="3" fontId="45" fillId="0" borderId="15" xfId="0" applyNumberFormat="1" applyFont="1" applyBorder="1" applyAlignment="1">
      <alignment vertical="top"/>
    </xf>
    <xf numFmtId="3" fontId="45" fillId="0" borderId="35" xfId="0" applyNumberFormat="1" applyFont="1" applyBorder="1" applyAlignment="1">
      <alignment vertical="top"/>
    </xf>
    <xf numFmtId="0" fontId="40" fillId="9" borderId="3" xfId="0" applyFont="1" applyFill="1" applyBorder="1" applyAlignment="1">
      <alignment horizontal="center" vertical="top" wrapText="1"/>
    </xf>
    <xf numFmtId="0" fontId="38" fillId="9" borderId="3" xfId="0" applyFont="1" applyFill="1" applyBorder="1" applyAlignment="1">
      <alignment horizontal="left" vertical="top" wrapText="1"/>
    </xf>
    <xf numFmtId="3" fontId="40" fillId="9" borderId="3" xfId="0" applyNumberFormat="1" applyFont="1" applyFill="1" applyBorder="1" applyAlignment="1">
      <alignment horizontal="right" vertical="top" wrapText="1"/>
    </xf>
    <xf numFmtId="9" fontId="40" fillId="9" borderId="3" xfId="0" applyNumberFormat="1" applyFont="1" applyFill="1" applyBorder="1" applyAlignment="1">
      <alignment horizontal="right" vertical="top" wrapText="1"/>
    </xf>
    <xf numFmtId="3" fontId="41" fillId="0" borderId="3" xfId="0" applyNumberFormat="1" applyFont="1" applyBorder="1" applyAlignment="1">
      <alignment horizontal="right" vertical="top" wrapText="1"/>
    </xf>
    <xf numFmtId="9" fontId="41" fillId="0" borderId="3" xfId="0" applyNumberFormat="1" applyFont="1" applyBorder="1" applyAlignment="1">
      <alignment horizontal="right" vertical="top" wrapText="1"/>
    </xf>
    <xf numFmtId="0" fontId="40" fillId="9" borderId="3" xfId="0" applyFont="1" applyFill="1" applyBorder="1" applyAlignment="1">
      <alignment horizontal="left" vertical="top" wrapText="1"/>
    </xf>
    <xf numFmtId="0" fontId="40" fillId="0" borderId="3" xfId="0" applyFont="1" applyBorder="1" applyAlignment="1">
      <alignment horizontal="left" vertical="top" wrapText="1"/>
    </xf>
    <xf numFmtId="3" fontId="40" fillId="0" borderId="3" xfId="0" applyNumberFormat="1" applyFont="1" applyBorder="1" applyAlignment="1">
      <alignment horizontal="right" vertical="top" wrapText="1"/>
    </xf>
    <xf numFmtId="3" fontId="41" fillId="0" borderId="0" xfId="0" applyNumberFormat="1" applyFont="1" applyAlignment="1">
      <alignment horizontal="right" vertical="top" wrapText="1"/>
    </xf>
    <xf numFmtId="3" fontId="41" fillId="0" borderId="0" xfId="0" applyNumberFormat="1" applyFont="1" applyAlignment="1">
      <alignment horizontal="left" vertical="top" wrapText="1"/>
    </xf>
    <xf numFmtId="3" fontId="40" fillId="9" borderId="1" xfId="0" applyNumberFormat="1" applyFont="1" applyFill="1" applyBorder="1" applyAlignment="1">
      <alignment horizontal="center" vertical="top" wrapText="1"/>
    </xf>
    <xf numFmtId="0" fontId="40" fillId="9" borderId="1" xfId="0" applyFont="1" applyFill="1" applyBorder="1" applyAlignment="1">
      <alignment horizontal="center" vertical="top" wrapText="1"/>
    </xf>
    <xf numFmtId="0" fontId="3" fillId="0" borderId="0" xfId="0" applyFont="1" applyAlignment="1">
      <alignment vertical="top"/>
    </xf>
    <xf numFmtId="4" fontId="41"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1" fillId="0" borderId="3" xfId="0" applyNumberFormat="1" applyFont="1" applyBorder="1" applyAlignment="1">
      <alignment vertical="top"/>
    </xf>
    <xf numFmtId="3" fontId="20" fillId="0" borderId="3" xfId="0" applyNumberFormat="1" applyFont="1" applyBorder="1" applyAlignment="1">
      <alignment vertical="top"/>
    </xf>
    <xf numFmtId="0" fontId="0" fillId="3" borderId="11" xfId="0" applyFill="1" applyBorder="1" applyAlignment="1">
      <alignment horizontal="center" vertical="top" wrapText="1"/>
    </xf>
    <xf numFmtId="0" fontId="11" fillId="0" borderId="0" xfId="0" applyFont="1" applyAlignment="1">
      <alignment vertical="top"/>
    </xf>
    <xf numFmtId="0" fontId="18" fillId="0" borderId="0" xfId="0" applyFont="1" applyAlignment="1">
      <alignment vertical="top"/>
    </xf>
    <xf numFmtId="3" fontId="19" fillId="0" borderId="32" xfId="0" applyNumberFormat="1" applyFont="1" applyBorder="1" applyAlignment="1">
      <alignment vertical="top"/>
    </xf>
    <xf numFmtId="3" fontId="19" fillId="0" borderId="76" xfId="0" applyNumberFormat="1" applyFont="1" applyBorder="1" applyAlignment="1">
      <alignment vertical="top"/>
    </xf>
    <xf numFmtId="3" fontId="19" fillId="0" borderId="57" xfId="0" applyNumberFormat="1" applyFont="1" applyBorder="1" applyAlignment="1">
      <alignment vertical="top"/>
    </xf>
    <xf numFmtId="3" fontId="19" fillId="0" borderId="42" xfId="0" applyNumberFormat="1"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7" xfId="0" applyNumberFormat="1" applyFont="1" applyBorder="1" applyAlignment="1">
      <alignment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0" fontId="15" fillId="11" borderId="1" xfId="0" applyFont="1" applyFill="1" applyBorder="1" applyAlignment="1" applyProtection="1">
      <alignment horizontal="left" vertical="top" wrapText="1"/>
      <protection locked="0"/>
    </xf>
    <xf numFmtId="0" fontId="18" fillId="11" borderId="1" xfId="0" applyFont="1" applyFill="1" applyBorder="1" applyAlignment="1" applyProtection="1">
      <alignment horizontal="left" vertical="top" wrapText="1"/>
      <protection locked="0"/>
    </xf>
    <xf numFmtId="0" fontId="18" fillId="11" borderId="40" xfId="0" applyFont="1" applyFill="1" applyBorder="1" applyAlignment="1" applyProtection="1">
      <alignment vertical="top" wrapText="1"/>
      <protection locked="0"/>
    </xf>
    <xf numFmtId="0" fontId="18" fillId="11" borderId="39" xfId="0" applyFont="1" applyFill="1" applyBorder="1" applyAlignment="1" applyProtection="1">
      <alignment vertical="top" wrapText="1"/>
      <protection locked="0"/>
    </xf>
    <xf numFmtId="0" fontId="2" fillId="11" borderId="3" xfId="0" applyFont="1" applyFill="1" applyBorder="1" applyAlignment="1" applyProtection="1">
      <alignment vertical="top"/>
      <protection locked="0"/>
    </xf>
    <xf numFmtId="0" fontId="18" fillId="11" borderId="3" xfId="0" applyFont="1" applyFill="1" applyBorder="1" applyAlignment="1" applyProtection="1">
      <alignment vertical="top" wrapText="1"/>
      <protection locked="0"/>
    </xf>
    <xf numFmtId="0" fontId="18" fillId="11" borderId="3" xfId="0" applyFont="1" applyFill="1" applyBorder="1" applyAlignment="1" applyProtection="1">
      <alignment vertical="top"/>
      <protection locked="0"/>
    </xf>
    <xf numFmtId="0" fontId="18" fillId="11" borderId="26"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19" fillId="12" borderId="31" xfId="0" applyNumberFormat="1" applyFont="1" applyFill="1" applyBorder="1" applyAlignment="1">
      <alignment vertical="top"/>
    </xf>
    <xf numFmtId="3" fontId="45" fillId="12" borderId="1" xfId="0" applyNumberFormat="1" applyFont="1" applyFill="1" applyBorder="1" applyAlignment="1">
      <alignment vertical="top"/>
    </xf>
    <xf numFmtId="3" fontId="45" fillId="12" borderId="22" xfId="0" applyNumberFormat="1" applyFont="1" applyFill="1" applyBorder="1" applyAlignment="1">
      <alignment vertical="top"/>
    </xf>
    <xf numFmtId="3" fontId="45" fillId="12" borderId="2" xfId="0" applyNumberFormat="1" applyFont="1" applyFill="1" applyBorder="1" applyAlignment="1">
      <alignment vertical="top"/>
    </xf>
    <xf numFmtId="3" fontId="45" fillId="12" borderId="39" xfId="0" applyNumberFormat="1" applyFont="1" applyFill="1" applyBorder="1" applyAlignment="1">
      <alignment vertical="top"/>
    </xf>
    <xf numFmtId="3" fontId="45" fillId="12" borderId="14" xfId="0" applyNumberFormat="1" applyFont="1" applyFill="1" applyBorder="1" applyAlignment="1">
      <alignment vertical="top"/>
    </xf>
    <xf numFmtId="0" fontId="18" fillId="12" borderId="39" xfId="0" applyFont="1" applyFill="1" applyBorder="1" applyAlignment="1">
      <alignment vertical="top"/>
    </xf>
    <xf numFmtId="0" fontId="18" fillId="12" borderId="40" xfId="0" applyFont="1" applyFill="1" applyBorder="1" applyAlignment="1">
      <alignment vertical="top" wrapText="1"/>
    </xf>
    <xf numFmtId="3" fontId="19" fillId="12" borderId="5" xfId="0" applyNumberFormat="1" applyFont="1" applyFill="1" applyBorder="1" applyAlignment="1">
      <alignment vertical="top"/>
    </xf>
    <xf numFmtId="3" fontId="19" fillId="12" borderId="4" xfId="0" applyNumberFormat="1" applyFont="1" applyFill="1" applyBorder="1" applyAlignment="1">
      <alignment vertical="top"/>
    </xf>
    <xf numFmtId="3" fontId="19" fillId="12" borderId="53" xfId="0" applyNumberFormat="1" applyFont="1" applyFill="1" applyBorder="1" applyAlignment="1">
      <alignment vertical="top"/>
    </xf>
    <xf numFmtId="3" fontId="19" fillId="12" borderId="1" xfId="0" applyNumberFormat="1" applyFont="1" applyFill="1" applyBorder="1" applyAlignment="1">
      <alignment vertical="top"/>
    </xf>
    <xf numFmtId="3" fontId="19" fillId="12" borderId="3" xfId="0" applyNumberFormat="1" applyFont="1" applyFill="1" applyBorder="1" applyAlignment="1">
      <alignment vertical="top"/>
    </xf>
    <xf numFmtId="3" fontId="19"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5" fillId="12" borderId="1" xfId="0" applyFont="1" applyFill="1" applyBorder="1" applyAlignment="1">
      <alignment horizontal="left" vertical="top" wrapText="1"/>
    </xf>
    <xf numFmtId="0" fontId="18" fillId="12" borderId="1" xfId="0" applyFont="1" applyFill="1" applyBorder="1" applyAlignment="1">
      <alignment horizontal="left" vertical="top" wrapText="1"/>
    </xf>
    <xf numFmtId="0" fontId="18" fillId="12" borderId="39" xfId="0" applyFont="1" applyFill="1" applyBorder="1" applyAlignment="1">
      <alignment vertical="top" wrapText="1"/>
    </xf>
    <xf numFmtId="0" fontId="18"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45" fillId="12" borderId="20" xfId="0" applyNumberFormat="1" applyFont="1" applyFill="1" applyBorder="1" applyAlignment="1">
      <alignment vertical="top"/>
    </xf>
    <xf numFmtId="3" fontId="45" fillId="12" borderId="11" xfId="0" applyNumberFormat="1" applyFont="1" applyFill="1" applyBorder="1" applyAlignment="1">
      <alignment vertical="top"/>
    </xf>
    <xf numFmtId="3" fontId="45" fillId="12" borderId="26" xfId="0" applyNumberFormat="1" applyFont="1" applyFill="1" applyBorder="1" applyAlignment="1">
      <alignment vertical="top"/>
    </xf>
    <xf numFmtId="3" fontId="45" fillId="12" borderId="12" xfId="0" applyNumberFormat="1" applyFont="1" applyFill="1" applyBorder="1" applyAlignment="1">
      <alignment vertical="top"/>
    </xf>
    <xf numFmtId="0" fontId="18" fillId="12" borderId="26" xfId="0" applyFont="1" applyFill="1" applyBorder="1" applyAlignment="1">
      <alignment vertical="top"/>
    </xf>
    <xf numFmtId="0" fontId="2" fillId="12" borderId="39" xfId="0" applyFont="1" applyFill="1" applyBorder="1" applyAlignment="1">
      <alignment vertical="top" wrapText="1"/>
    </xf>
    <xf numFmtId="0" fontId="2" fillId="12" borderId="40" xfId="0" applyFont="1" applyFill="1" applyBorder="1" applyAlignment="1">
      <alignment vertical="top" wrapText="1"/>
    </xf>
    <xf numFmtId="0" fontId="15" fillId="12" borderId="46" xfId="0" applyFont="1" applyFill="1" applyBorder="1" applyAlignment="1">
      <alignment horizontal="left" vertical="top" wrapText="1"/>
    </xf>
    <xf numFmtId="0" fontId="18" fillId="12" borderId="46" xfId="0" applyFont="1" applyFill="1" applyBorder="1" applyAlignment="1">
      <alignment horizontal="left" vertical="top" wrapText="1"/>
    </xf>
    <xf numFmtId="0" fontId="15" fillId="12" borderId="21" xfId="0" applyFont="1" applyFill="1" applyBorder="1" applyAlignment="1">
      <alignment horizontal="left" vertical="top" wrapText="1"/>
    </xf>
    <xf numFmtId="0" fontId="18" fillId="12" borderId="50" xfId="0" applyFont="1" applyFill="1" applyBorder="1" applyAlignment="1">
      <alignment vertical="top"/>
    </xf>
    <xf numFmtId="0" fontId="18" fillId="12" borderId="47" xfId="0" applyFont="1" applyFill="1" applyBorder="1" applyAlignment="1">
      <alignment vertical="top" wrapText="1"/>
    </xf>
    <xf numFmtId="0" fontId="18" fillId="12" borderId="1" xfId="1" applyFont="1" applyFill="1" applyBorder="1" applyAlignment="1">
      <alignment horizontal="left" vertical="top" wrapText="1"/>
    </xf>
    <xf numFmtId="0" fontId="18" fillId="12" borderId="31" xfId="0" applyFont="1" applyFill="1" applyBorder="1" applyAlignment="1">
      <alignment horizontal="left" vertical="top" wrapText="1"/>
    </xf>
    <xf numFmtId="0" fontId="18" fillId="12" borderId="3" xfId="1" applyFont="1" applyFill="1" applyBorder="1" applyAlignment="1">
      <alignment horizontal="left" vertical="top" wrapText="1"/>
    </xf>
    <xf numFmtId="0" fontId="18" fillId="12" borderId="0" xfId="0" applyFont="1" applyFill="1" applyAlignment="1">
      <alignment vertical="top" wrapText="1"/>
    </xf>
    <xf numFmtId="0" fontId="18" fillId="12" borderId="21" xfId="1" applyFont="1" applyFill="1" applyBorder="1" applyAlignment="1">
      <alignment horizontal="left" vertical="top" wrapText="1"/>
    </xf>
    <xf numFmtId="3" fontId="15" fillId="0" borderId="4" xfId="0" applyNumberFormat="1" applyFont="1" applyBorder="1" applyAlignment="1">
      <alignment vertical="top"/>
    </xf>
    <xf numFmtId="3" fontId="15" fillId="0" borderId="5" xfId="0" applyNumberFormat="1" applyFont="1" applyBorder="1" applyAlignment="1">
      <alignment vertical="top"/>
    </xf>
    <xf numFmtId="3" fontId="15" fillId="0" borderId="6" xfId="0" applyNumberFormat="1" applyFont="1" applyBorder="1" applyAlignment="1">
      <alignment vertical="top"/>
    </xf>
    <xf numFmtId="3" fontId="20" fillId="0" borderId="18" xfId="0" applyNumberFormat="1" applyFont="1" applyBorder="1" applyAlignment="1">
      <alignment vertical="top"/>
    </xf>
    <xf numFmtId="3" fontId="20" fillId="0" borderId="16" xfId="0" applyNumberFormat="1" applyFont="1" applyBorder="1" applyAlignment="1">
      <alignment vertical="top"/>
    </xf>
    <xf numFmtId="3" fontId="20" fillId="0" borderId="15" xfId="0" applyNumberFormat="1" applyFont="1" applyBorder="1" applyAlignment="1">
      <alignment vertical="top"/>
    </xf>
    <xf numFmtId="0" fontId="18" fillId="11" borderId="31" xfId="0" applyFont="1" applyFill="1" applyBorder="1" applyAlignment="1" applyProtection="1">
      <alignment horizontal="left" vertical="top" wrapText="1"/>
      <protection locked="0"/>
    </xf>
    <xf numFmtId="0" fontId="17" fillId="4" borderId="41" xfId="0" applyFont="1" applyFill="1" applyBorder="1" applyAlignment="1">
      <alignment horizontal="center" vertical="top"/>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7" fillId="4" borderId="10"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3" fontId="19" fillId="0" borderId="18" xfId="0" applyNumberFormat="1" applyFont="1" applyBorder="1" applyAlignment="1">
      <alignment vertical="top"/>
    </xf>
    <xf numFmtId="3" fontId="19" fillId="0" borderId="16" xfId="0" applyNumberFormat="1" applyFont="1" applyBorder="1" applyAlignment="1">
      <alignment vertical="top"/>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164" fontId="6" fillId="4" borderId="23"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164" fontId="0" fillId="4" borderId="30" xfId="0" applyNumberFormat="1" applyFill="1" applyBorder="1" applyAlignment="1">
      <alignment horizontal="left" vertical="top" wrapText="1"/>
    </xf>
    <xf numFmtId="0" fontId="11" fillId="0" borderId="30" xfId="0" applyFont="1" applyBorder="1" applyAlignment="1">
      <alignment vertical="top"/>
    </xf>
    <xf numFmtId="3" fontId="45" fillId="12" borderId="5" xfId="0" applyNumberFormat="1" applyFont="1" applyFill="1" applyBorder="1" applyAlignment="1">
      <alignment vertical="top"/>
    </xf>
    <xf numFmtId="3" fontId="45" fillId="0" borderId="76" xfId="0" applyNumberFormat="1" applyFont="1" applyBorder="1" applyAlignment="1">
      <alignment vertical="top"/>
    </xf>
    <xf numFmtId="0" fontId="2" fillId="11" borderId="21"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92" xfId="0" applyFont="1" applyFill="1" applyBorder="1" applyAlignment="1" applyProtection="1">
      <alignment vertical="top"/>
      <protection locked="0"/>
    </xf>
    <xf numFmtId="0" fontId="2" fillId="11" borderId="48" xfId="0" applyFont="1" applyFill="1" applyBorder="1" applyAlignment="1" applyProtection="1">
      <alignment vertical="top"/>
      <protection locked="0"/>
    </xf>
    <xf numFmtId="3" fontId="45" fillId="0" borderId="18" xfId="0" applyNumberFormat="1" applyFont="1" applyBorder="1" applyAlignment="1">
      <alignment vertical="top"/>
    </xf>
    <xf numFmtId="3" fontId="45" fillId="0" borderId="16" xfId="0" applyNumberFormat="1" applyFont="1" applyBorder="1" applyAlignment="1">
      <alignment vertical="top"/>
    </xf>
    <xf numFmtId="1" fontId="12" fillId="4" borderId="23" xfId="0" applyNumberFormat="1" applyFont="1" applyFill="1" applyBorder="1" applyAlignment="1">
      <alignment horizontal="center" vertical="top" wrapText="1"/>
    </xf>
    <xf numFmtId="0" fontId="18" fillId="12" borderId="26" xfId="0" applyFont="1" applyFill="1" applyBorder="1" applyAlignment="1">
      <alignment vertical="top" wrapText="1"/>
    </xf>
    <xf numFmtId="0" fontId="18" fillId="12" borderId="50" xfId="0" applyFont="1" applyFill="1" applyBorder="1" applyAlignment="1">
      <alignment vertical="top" wrapText="1"/>
    </xf>
    <xf numFmtId="0" fontId="18" fillId="12" borderId="47" xfId="0" applyFont="1" applyFill="1" applyBorder="1" applyAlignment="1">
      <alignment horizontal="center" vertical="top"/>
    </xf>
    <xf numFmtId="0" fontId="2" fillId="12" borderId="47" xfId="0" applyFont="1" applyFill="1" applyBorder="1" applyAlignment="1">
      <alignment vertical="top" wrapText="1"/>
    </xf>
    <xf numFmtId="0" fontId="0" fillId="0" borderId="3" xfId="0" applyBorder="1" applyAlignment="1">
      <alignment vertical="top"/>
    </xf>
    <xf numFmtId="0" fontId="0" fillId="3" borderId="3" xfId="0" applyFill="1" applyBorder="1" applyAlignment="1">
      <alignment vertical="top"/>
    </xf>
    <xf numFmtId="0" fontId="0" fillId="3" borderId="19" xfId="0" applyFill="1" applyBorder="1" applyAlignment="1">
      <alignment vertical="top"/>
    </xf>
    <xf numFmtId="0" fontId="1" fillId="3" borderId="0" xfId="0" applyFont="1" applyFill="1" applyAlignment="1">
      <alignment horizontal="left" vertical="top"/>
    </xf>
    <xf numFmtId="0" fontId="1" fillId="2" borderId="33" xfId="0" applyFont="1" applyFill="1" applyBorder="1" applyAlignment="1">
      <alignment vertical="top" wrapText="1"/>
    </xf>
    <xf numFmtId="0" fontId="0" fillId="0" borderId="36" xfId="0" applyBorder="1" applyAlignment="1">
      <alignment horizontal="left" vertical="top"/>
    </xf>
    <xf numFmtId="3" fontId="0" fillId="12" borderId="37" xfId="0" applyNumberFormat="1" applyFill="1" applyBorder="1" applyAlignment="1">
      <alignment horizontal="left" vertical="top" wrapText="1"/>
    </xf>
    <xf numFmtId="0" fontId="0" fillId="0" borderId="43" xfId="0" applyBorder="1" applyAlignment="1">
      <alignment horizontal="left" vertical="top"/>
    </xf>
    <xf numFmtId="3" fontId="45" fillId="12" borderId="69" xfId="0" applyNumberFormat="1" applyFont="1" applyFill="1" applyBorder="1" applyAlignment="1">
      <alignment vertical="top"/>
    </xf>
    <xf numFmtId="3" fontId="45" fillId="0" borderId="56" xfId="0" applyNumberFormat="1" applyFont="1" applyBorder="1" applyAlignment="1">
      <alignment vertical="top"/>
    </xf>
    <xf numFmtId="164" fontId="0" fillId="4" borderId="90" xfId="0" applyNumberFormat="1" applyFill="1" applyBorder="1" applyAlignment="1">
      <alignment horizontal="center" vertical="top" wrapText="1"/>
    </xf>
    <xf numFmtId="164" fontId="0" fillId="4" borderId="91" xfId="0" applyNumberFormat="1" applyFill="1" applyBorder="1" applyAlignment="1">
      <alignment horizontal="center" vertical="top" wrapText="1"/>
    </xf>
    <xf numFmtId="164" fontId="0" fillId="4" borderId="89" xfId="0" applyNumberFormat="1" applyFill="1" applyBorder="1" applyAlignment="1">
      <alignment horizontal="center" vertical="top" wrapText="1"/>
    </xf>
    <xf numFmtId="164" fontId="0" fillId="4" borderId="81" xfId="0" applyNumberFormat="1" applyFill="1" applyBorder="1" applyAlignment="1">
      <alignment horizontal="center" vertical="top" wrapText="1"/>
    </xf>
    <xf numFmtId="164" fontId="0" fillId="4" borderId="70" xfId="0" applyNumberFormat="1" applyFill="1" applyBorder="1" applyAlignment="1">
      <alignment horizontal="center" vertical="top" wrapText="1"/>
    </xf>
    <xf numFmtId="3" fontId="45" fillId="12" borderId="3" xfId="0" applyNumberFormat="1" applyFont="1" applyFill="1" applyBorder="1" applyAlignment="1">
      <alignment vertical="top"/>
    </xf>
    <xf numFmtId="3" fontId="45" fillId="12" borderId="13" xfId="0" applyNumberFormat="1" applyFont="1" applyFill="1" applyBorder="1" applyAlignment="1">
      <alignment vertical="top"/>
    </xf>
    <xf numFmtId="0" fontId="18" fillId="12" borderId="49" xfId="0" applyFont="1" applyFill="1" applyBorder="1" applyAlignment="1">
      <alignment horizontal="left" vertical="top" wrapText="1"/>
    </xf>
    <xf numFmtId="0" fontId="18" fillId="12" borderId="21" xfId="0" applyFont="1" applyFill="1" applyBorder="1" applyAlignment="1">
      <alignment horizontal="left" vertical="top" wrapText="1"/>
    </xf>
    <xf numFmtId="0" fontId="46" fillId="13" borderId="31" xfId="0" applyFont="1" applyFill="1" applyBorder="1" applyAlignment="1" applyProtection="1">
      <alignment horizontal="left" vertical="top" wrapText="1"/>
      <protection locked="0"/>
    </xf>
    <xf numFmtId="0" fontId="15" fillId="13" borderId="1" xfId="0" applyFont="1" applyFill="1" applyBorder="1" applyAlignment="1" applyProtection="1">
      <alignment horizontal="left" vertical="top" wrapText="1"/>
      <protection locked="0"/>
    </xf>
    <xf numFmtId="0" fontId="18" fillId="13" borderId="1" xfId="0" applyFont="1" applyFill="1" applyBorder="1" applyAlignment="1" applyProtection="1">
      <alignment horizontal="left" vertical="top" wrapText="1"/>
      <protection locked="0"/>
    </xf>
    <xf numFmtId="0" fontId="18" fillId="13" borderId="3" xfId="0" applyFont="1" applyFill="1" applyBorder="1" applyAlignment="1" applyProtection="1">
      <alignment horizontal="left" vertical="top" wrapText="1"/>
      <protection locked="0"/>
    </xf>
    <xf numFmtId="3" fontId="16" fillId="13" borderId="14" xfId="0" applyNumberFormat="1" applyFont="1" applyFill="1" applyBorder="1" applyAlignment="1">
      <alignment vertical="top"/>
    </xf>
    <xf numFmtId="3" fontId="19" fillId="13" borderId="31" xfId="0" applyNumberFormat="1" applyFont="1" applyFill="1" applyBorder="1" applyAlignment="1">
      <alignment vertical="top"/>
    </xf>
    <xf numFmtId="3" fontId="19" fillId="13" borderId="1" xfId="0" applyNumberFormat="1" applyFont="1" applyFill="1" applyBorder="1" applyAlignment="1">
      <alignment vertical="top"/>
    </xf>
    <xf numFmtId="3" fontId="19" fillId="13" borderId="3" xfId="0" applyNumberFormat="1" applyFont="1" applyFill="1" applyBorder="1" applyAlignment="1">
      <alignment vertical="top"/>
    </xf>
    <xf numFmtId="3" fontId="19" fillId="13" borderId="38" xfId="0" applyNumberFormat="1" applyFont="1" applyFill="1" applyBorder="1" applyAlignment="1">
      <alignment vertical="top"/>
    </xf>
    <xf numFmtId="0" fontId="18" fillId="13" borderId="40" xfId="0" applyFont="1" applyFill="1" applyBorder="1" applyAlignment="1" applyProtection="1">
      <alignment vertical="top" wrapText="1"/>
      <protection locked="0"/>
    </xf>
    <xf numFmtId="0" fontId="18" fillId="13" borderId="26" xfId="0" applyFont="1" applyFill="1" applyBorder="1" applyAlignment="1" applyProtection="1">
      <alignment vertical="top" wrapText="1"/>
      <protection locked="0"/>
    </xf>
    <xf numFmtId="0" fontId="2" fillId="13" borderId="3" xfId="0" applyFont="1" applyFill="1" applyBorder="1" applyAlignment="1" applyProtection="1">
      <alignment vertical="top"/>
      <protection locked="0"/>
    </xf>
    <xf numFmtId="0" fontId="18" fillId="11" borderId="39" xfId="0" applyFont="1" applyFill="1" applyBorder="1" applyAlignment="1" applyProtection="1">
      <alignment vertical="top"/>
      <protection locked="0"/>
    </xf>
    <xf numFmtId="0" fontId="18" fillId="11" borderId="12" xfId="0" applyFont="1" applyFill="1" applyBorder="1" applyAlignment="1" applyProtection="1">
      <alignment vertical="top"/>
      <protection locked="0"/>
    </xf>
    <xf numFmtId="0" fontId="18" fillId="13" borderId="39" xfId="0" applyFont="1" applyFill="1" applyBorder="1" applyAlignment="1" applyProtection="1">
      <alignment vertical="top"/>
      <protection locked="0"/>
    </xf>
    <xf numFmtId="0" fontId="2" fillId="13" borderId="12" xfId="0" applyFont="1" applyFill="1" applyBorder="1" applyAlignment="1" applyProtection="1">
      <alignment vertical="top"/>
      <protection locked="0"/>
    </xf>
    <xf numFmtId="0" fontId="18" fillId="11" borderId="26" xfId="0" applyFont="1" applyFill="1" applyBorder="1" applyAlignment="1" applyProtection="1">
      <alignment vertical="top"/>
      <protection locked="0"/>
    </xf>
    <xf numFmtId="0" fontId="18" fillId="11" borderId="50" xfId="0" applyFont="1" applyFill="1" applyBorder="1" applyAlignment="1" applyProtection="1">
      <alignment vertical="top"/>
      <protection locked="0"/>
    </xf>
    <xf numFmtId="0" fontId="2" fillId="0" borderId="16" xfId="0" applyFont="1" applyBorder="1" applyAlignment="1">
      <alignment vertical="top"/>
    </xf>
    <xf numFmtId="0" fontId="2" fillId="0" borderId="15" xfId="0" applyFont="1" applyBorder="1" applyAlignment="1">
      <alignment vertical="top"/>
    </xf>
    <xf numFmtId="0" fontId="11" fillId="4" borderId="8" xfId="0" applyFont="1" applyFill="1" applyBorder="1" applyAlignment="1">
      <alignment horizontal="center" vertical="top" wrapText="1"/>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48" fillId="0" borderId="0" xfId="0" applyFont="1" applyAlignment="1">
      <alignment vertical="top"/>
    </xf>
    <xf numFmtId="0" fontId="46" fillId="0" borderId="0" xfId="0" applyFont="1" applyAlignment="1">
      <alignment vertical="top"/>
    </xf>
    <xf numFmtId="0" fontId="14" fillId="0" borderId="0" xfId="0" applyFont="1"/>
    <xf numFmtId="0" fontId="1" fillId="4" borderId="3" xfId="0" applyFont="1" applyFill="1" applyBorder="1" applyAlignment="1">
      <alignment horizontal="center" vertical="top" wrapText="1"/>
    </xf>
    <xf numFmtId="0" fontId="1" fillId="0" borderId="0" xfId="0" applyFont="1" applyAlignment="1">
      <alignment vertical="top" wrapText="1"/>
    </xf>
    <xf numFmtId="0" fontId="46" fillId="4" borderId="3" xfId="0" applyFont="1" applyFill="1" applyBorder="1" applyAlignment="1">
      <alignment horizontal="center" vertical="top" wrapText="1"/>
    </xf>
    <xf numFmtId="0" fontId="0" fillId="0" borderId="0" xfId="0" applyAlignment="1">
      <alignment horizontal="right" vertical="top"/>
    </xf>
    <xf numFmtId="0" fontId="0" fillId="0" borderId="0" xfId="0" applyAlignment="1">
      <alignment horizontal="right"/>
    </xf>
    <xf numFmtId="0" fontId="2" fillId="0" borderId="0" xfId="0" applyFont="1" applyAlignment="1">
      <alignment vertical="center"/>
    </xf>
    <xf numFmtId="0" fontId="1" fillId="0" borderId="0" xfId="0" applyFont="1"/>
    <xf numFmtId="0" fontId="1" fillId="2" borderId="93" xfId="0" applyFont="1" applyFill="1" applyBorder="1" applyAlignment="1">
      <alignment vertical="top" wrapText="1"/>
    </xf>
    <xf numFmtId="0" fontId="1" fillId="3" borderId="96" xfId="0" applyFont="1" applyFill="1" applyBorder="1" applyAlignment="1">
      <alignment vertical="top" wrapText="1"/>
    </xf>
    <xf numFmtId="0" fontId="0" fillId="3" borderId="97" xfId="0" applyFill="1" applyBorder="1" applyAlignment="1">
      <alignment horizontal="center" vertical="top" wrapText="1"/>
    </xf>
    <xf numFmtId="0" fontId="1" fillId="3" borderId="98" xfId="0" applyFont="1" applyFill="1" applyBorder="1" applyAlignment="1">
      <alignment vertical="top" wrapText="1"/>
    </xf>
    <xf numFmtId="3" fontId="2" fillId="12" borderId="99" xfId="0" applyNumberFormat="1" applyFont="1" applyFill="1" applyBorder="1" applyAlignment="1">
      <alignment horizontal="right" vertical="top" wrapText="1"/>
    </xf>
    <xf numFmtId="3" fontId="0" fillId="12" borderId="99" xfId="0" applyNumberFormat="1" applyFill="1" applyBorder="1" applyAlignment="1">
      <alignment horizontal="right" vertical="top" wrapText="1"/>
    </xf>
    <xf numFmtId="0" fontId="3" fillId="0" borderId="53" xfId="0" applyFont="1" applyBorder="1" applyAlignment="1">
      <alignment horizontal="left" vertical="top"/>
    </xf>
    <xf numFmtId="0" fontId="0" fillId="0" borderId="55" xfId="0" applyBorder="1" applyAlignment="1">
      <alignment horizontal="left" vertical="top"/>
    </xf>
    <xf numFmtId="3" fontId="0" fillId="12" borderId="101" xfId="0" applyNumberFormat="1" applyFill="1" applyBorder="1" applyAlignment="1">
      <alignment horizontal="left" vertical="top" wrapText="1"/>
    </xf>
    <xf numFmtId="0" fontId="1" fillId="3" borderId="92" xfId="0" applyFont="1" applyFill="1" applyBorder="1" applyAlignment="1">
      <alignment vertical="top" wrapText="1"/>
    </xf>
    <xf numFmtId="3" fontId="2" fillId="12" borderId="21" xfId="0" applyNumberFormat="1" applyFont="1" applyFill="1" applyBorder="1" applyAlignment="1">
      <alignment horizontal="right" vertical="top" wrapText="1"/>
    </xf>
    <xf numFmtId="3" fontId="0" fillId="12" borderId="21" xfId="0" applyNumberFormat="1" applyFill="1" applyBorder="1" applyAlignment="1">
      <alignment horizontal="right" vertical="top" wrapText="1"/>
    </xf>
    <xf numFmtId="3" fontId="0" fillId="12" borderId="45" xfId="0" applyNumberFormat="1" applyFill="1" applyBorder="1" applyAlignment="1">
      <alignment horizontal="right" vertical="top" wrapText="1"/>
    </xf>
    <xf numFmtId="0" fontId="2" fillId="3" borderId="99" xfId="0" applyFont="1" applyFill="1" applyBorder="1" applyAlignment="1">
      <alignment horizontal="center" vertical="top" wrapText="1"/>
    </xf>
    <xf numFmtId="0" fontId="0" fillId="3" borderId="99" xfId="0" applyFill="1" applyBorder="1" applyAlignment="1">
      <alignment horizontal="center" vertical="top" wrapText="1"/>
    </xf>
    <xf numFmtId="0" fontId="0" fillId="3" borderId="100" xfId="0" applyFill="1" applyBorder="1" applyAlignment="1">
      <alignment horizontal="center" vertical="top" wrapText="1"/>
    </xf>
    <xf numFmtId="0" fontId="1" fillId="3" borderId="102" xfId="0" applyFont="1" applyFill="1" applyBorder="1" applyAlignment="1">
      <alignment vertical="top" wrapText="1"/>
    </xf>
    <xf numFmtId="3" fontId="0" fillId="12" borderId="103" xfId="0" applyNumberFormat="1" applyFill="1" applyBorder="1" applyAlignment="1">
      <alignment horizontal="right" vertical="top" wrapText="1"/>
    </xf>
    <xf numFmtId="9" fontId="0" fillId="12" borderId="100" xfId="0" applyNumberFormat="1" applyFill="1" applyBorder="1" applyAlignment="1">
      <alignment horizontal="right" vertical="top" wrapText="1"/>
    </xf>
    <xf numFmtId="0" fontId="1" fillId="3" borderId="49" xfId="0" applyFont="1" applyFill="1" applyBorder="1" applyAlignment="1">
      <alignment vertical="top" wrapText="1"/>
    </xf>
    <xf numFmtId="3" fontId="2" fillId="12" borderId="46" xfId="0" applyNumberFormat="1" applyFont="1" applyFill="1" applyBorder="1" applyAlignment="1">
      <alignment horizontal="right" vertical="top" wrapText="1"/>
    </xf>
    <xf numFmtId="3" fontId="0" fillId="12" borderId="46" xfId="0" applyNumberFormat="1" applyFill="1" applyBorder="1" applyAlignment="1">
      <alignment horizontal="right" vertical="top" wrapText="1"/>
    </xf>
    <xf numFmtId="3" fontId="0" fillId="12" borderId="79" xfId="0" applyNumberFormat="1" applyFill="1" applyBorder="1" applyAlignment="1">
      <alignment horizontal="right" vertical="top" wrapText="1"/>
    </xf>
    <xf numFmtId="9" fontId="2" fillId="3" borderId="99" xfId="0" applyNumberFormat="1" applyFont="1" applyFill="1" applyBorder="1" applyAlignment="1">
      <alignment horizontal="right" vertical="top" wrapText="1"/>
    </xf>
    <xf numFmtId="9" fontId="2" fillId="3" borderId="100" xfId="0" applyNumberFormat="1" applyFont="1" applyFill="1" applyBorder="1" applyAlignment="1">
      <alignment horizontal="right" vertical="top" wrapText="1"/>
    </xf>
    <xf numFmtId="3" fontId="2" fillId="3" borderId="21" xfId="0" applyNumberFormat="1" applyFont="1" applyFill="1" applyBorder="1" applyAlignment="1">
      <alignment horizontal="right" vertical="top" wrapText="1"/>
    </xf>
    <xf numFmtId="3" fontId="2" fillId="3" borderId="48" xfId="0" applyNumberFormat="1" applyFont="1" applyFill="1" applyBorder="1" applyAlignment="1">
      <alignment horizontal="right" vertical="top" wrapText="1"/>
    </xf>
    <xf numFmtId="49" fontId="12" fillId="4" borderId="7" xfId="0" applyNumberFormat="1" applyFont="1" applyFill="1" applyBorder="1" applyAlignment="1">
      <alignment horizontal="center" vertical="top" wrapText="1"/>
    </xf>
    <xf numFmtId="3" fontId="45" fillId="11" borderId="39" xfId="0" applyNumberFormat="1" applyFont="1" applyFill="1" applyBorder="1" applyAlignment="1" applyProtection="1">
      <alignment vertical="top"/>
      <protection locked="0"/>
    </xf>
    <xf numFmtId="3" fontId="45" fillId="11" borderId="2" xfId="0" applyNumberFormat="1" applyFont="1" applyFill="1" applyBorder="1" applyAlignment="1" applyProtection="1">
      <alignment vertical="top"/>
      <protection locked="0"/>
    </xf>
    <xf numFmtId="3" fontId="45" fillId="11" borderId="14" xfId="0" applyNumberFormat="1" applyFont="1" applyFill="1" applyBorder="1" applyAlignment="1" applyProtection="1">
      <alignment vertical="top"/>
      <protection locked="0"/>
    </xf>
    <xf numFmtId="3" fontId="45" fillId="11" borderId="22" xfId="0" applyNumberFormat="1" applyFont="1" applyFill="1" applyBorder="1" applyAlignment="1" applyProtection="1">
      <alignment vertical="top"/>
      <protection locked="0"/>
    </xf>
    <xf numFmtId="3" fontId="45" fillId="11" borderId="13" xfId="0" applyNumberFormat="1" applyFont="1" applyFill="1" applyBorder="1" applyAlignment="1" applyProtection="1">
      <alignment vertical="top"/>
      <protection locked="0"/>
    </xf>
    <xf numFmtId="3" fontId="45" fillId="11" borderId="3" xfId="0" applyNumberFormat="1" applyFont="1" applyFill="1" applyBorder="1" applyAlignment="1" applyProtection="1">
      <alignment vertical="top"/>
      <protection locked="0"/>
    </xf>
    <xf numFmtId="3" fontId="45" fillId="11" borderId="12" xfId="0" applyNumberFormat="1" applyFont="1" applyFill="1" applyBorder="1" applyAlignment="1" applyProtection="1">
      <alignment vertical="top"/>
      <protection locked="0"/>
    </xf>
    <xf numFmtId="3" fontId="45" fillId="13" borderId="39" xfId="0" applyNumberFormat="1" applyFont="1" applyFill="1" applyBorder="1" applyAlignment="1" applyProtection="1">
      <alignment vertical="top"/>
      <protection locked="0"/>
    </xf>
    <xf numFmtId="3" fontId="45" fillId="13" borderId="2" xfId="0" applyNumberFormat="1" applyFont="1" applyFill="1" applyBorder="1" applyAlignment="1" applyProtection="1">
      <alignment vertical="top"/>
      <protection locked="0"/>
    </xf>
    <xf numFmtId="3" fontId="45" fillId="13" borderId="14" xfId="0" applyNumberFormat="1" applyFont="1" applyFill="1" applyBorder="1" applyAlignment="1" applyProtection="1">
      <alignment vertical="top"/>
      <protection locked="0"/>
    </xf>
    <xf numFmtId="3" fontId="45" fillId="13" borderId="22" xfId="0" applyNumberFormat="1" applyFont="1" applyFill="1" applyBorder="1" applyAlignment="1" applyProtection="1">
      <alignment vertical="top"/>
      <protection locked="0"/>
    </xf>
    <xf numFmtId="3" fontId="45" fillId="13" borderId="13" xfId="0" applyNumberFormat="1" applyFont="1" applyFill="1" applyBorder="1" applyAlignment="1" applyProtection="1">
      <alignment vertical="top"/>
      <protection locked="0"/>
    </xf>
    <xf numFmtId="3" fontId="45" fillId="13" borderId="3" xfId="0" applyNumberFormat="1" applyFont="1" applyFill="1" applyBorder="1" applyAlignment="1" applyProtection="1">
      <alignment vertical="top"/>
      <protection locked="0"/>
    </xf>
    <xf numFmtId="3" fontId="45" fillId="13" borderId="12" xfId="0" applyNumberFormat="1" applyFont="1" applyFill="1" applyBorder="1" applyAlignment="1" applyProtection="1">
      <alignment vertical="top"/>
      <protection locked="0"/>
    </xf>
    <xf numFmtId="3" fontId="45" fillId="11" borderId="26" xfId="0" applyNumberFormat="1" applyFont="1" applyFill="1" applyBorder="1" applyAlignment="1" applyProtection="1">
      <alignment vertical="top"/>
      <protection locked="0"/>
    </xf>
    <xf numFmtId="3" fontId="45" fillId="11" borderId="11" xfId="0" applyNumberFormat="1" applyFont="1" applyFill="1" applyBorder="1" applyAlignment="1" applyProtection="1">
      <alignment vertical="top"/>
      <protection locked="0"/>
    </xf>
    <xf numFmtId="3" fontId="45" fillId="11" borderId="20" xfId="0" applyNumberFormat="1" applyFont="1" applyFill="1" applyBorder="1" applyAlignment="1" applyProtection="1">
      <alignment vertical="top"/>
      <protection locked="0"/>
    </xf>
    <xf numFmtId="3" fontId="45" fillId="11" borderId="50" xfId="0" applyNumberFormat="1" applyFont="1" applyFill="1" applyBorder="1" applyAlignment="1" applyProtection="1">
      <alignment vertical="top"/>
      <protection locked="0"/>
    </xf>
    <xf numFmtId="3" fontId="45" fillId="11" borderId="45" xfId="0" applyNumberFormat="1" applyFont="1" applyFill="1" applyBorder="1" applyAlignment="1" applyProtection="1">
      <alignment vertical="top"/>
      <protection locked="0"/>
    </xf>
    <xf numFmtId="3" fontId="45" fillId="11" borderId="48" xfId="0" applyNumberFormat="1" applyFont="1" applyFill="1" applyBorder="1" applyAlignment="1" applyProtection="1">
      <alignment vertical="top"/>
      <protection locked="0"/>
    </xf>
    <xf numFmtId="3" fontId="45" fillId="11" borderId="44" xfId="0" applyNumberFormat="1" applyFont="1" applyFill="1" applyBorder="1" applyAlignment="1" applyProtection="1">
      <alignment vertical="top"/>
      <protection locked="0"/>
    </xf>
    <xf numFmtId="3" fontId="45" fillId="11" borderId="13" xfId="0" applyNumberFormat="1" applyFont="1" applyFill="1" applyBorder="1" applyAlignment="1" applyProtection="1">
      <alignment horizontal="right" vertical="top"/>
      <protection locked="0"/>
    </xf>
    <xf numFmtId="3" fontId="45" fillId="11" borderId="3" xfId="0" applyNumberFormat="1" applyFont="1" applyFill="1" applyBorder="1" applyAlignment="1" applyProtection="1">
      <alignment horizontal="right" vertical="top"/>
      <protection locked="0"/>
    </xf>
    <xf numFmtId="3" fontId="45" fillId="11" borderId="12" xfId="0" applyNumberFormat="1" applyFont="1" applyFill="1" applyBorder="1" applyAlignment="1" applyProtection="1">
      <alignment horizontal="right" vertical="top"/>
      <protection locked="0"/>
    </xf>
    <xf numFmtId="3" fontId="45" fillId="11" borderId="11" xfId="0" applyNumberFormat="1" applyFont="1" applyFill="1" applyBorder="1" applyAlignment="1" applyProtection="1">
      <alignment horizontal="right" vertical="top"/>
      <protection locked="0"/>
    </xf>
    <xf numFmtId="3" fontId="45" fillId="11" borderId="50" xfId="0" applyNumberFormat="1" applyFont="1" applyFill="1" applyBorder="1" applyAlignment="1" applyProtection="1">
      <alignment horizontal="right" vertical="top"/>
      <protection locked="0"/>
    </xf>
    <xf numFmtId="3" fontId="45" fillId="11" borderId="45" xfId="0" applyNumberFormat="1" applyFont="1" applyFill="1" applyBorder="1" applyAlignment="1" applyProtection="1">
      <alignment horizontal="right" vertical="top"/>
      <protection locked="0"/>
    </xf>
    <xf numFmtId="3" fontId="45" fillId="11" borderId="48" xfId="0" applyNumberFormat="1" applyFont="1" applyFill="1" applyBorder="1" applyAlignment="1" applyProtection="1">
      <alignment horizontal="right" vertical="top"/>
      <protection locked="0"/>
    </xf>
    <xf numFmtId="0" fontId="15" fillId="13" borderId="3" xfId="0" applyFont="1" applyFill="1" applyBorder="1" applyAlignment="1" applyProtection="1">
      <alignment horizontal="left" vertical="top" wrapText="1"/>
      <protection locked="0"/>
    </xf>
    <xf numFmtId="0" fontId="18" fillId="13" borderId="3" xfId="0" applyFont="1" applyFill="1" applyBorder="1" applyAlignment="1" applyProtection="1">
      <alignment vertical="top" wrapText="1"/>
      <protection locked="0"/>
    </xf>
    <xf numFmtId="0" fontId="2" fillId="0" borderId="30" xfId="0" applyFont="1" applyBorder="1" applyAlignment="1">
      <alignment vertical="top" wrapText="1"/>
    </xf>
    <xf numFmtId="0" fontId="46" fillId="0" borderId="25" xfId="0" applyFont="1" applyBorder="1" applyAlignment="1">
      <alignment horizontal="right" vertical="top" wrapText="1"/>
    </xf>
    <xf numFmtId="0" fontId="46" fillId="0" borderId="24" xfId="0" applyFont="1" applyBorder="1" applyAlignment="1">
      <alignment horizontal="right" vertical="top" wrapText="1"/>
    </xf>
    <xf numFmtId="0" fontId="46" fillId="0" borderId="104" xfId="0" applyFont="1" applyBorder="1" applyAlignment="1">
      <alignment horizontal="right" vertical="top" wrapText="1"/>
    </xf>
    <xf numFmtId="0" fontId="46" fillId="0" borderId="25" xfId="0" applyFont="1" applyBorder="1" applyAlignment="1">
      <alignment vertical="top"/>
    </xf>
    <xf numFmtId="0" fontId="46" fillId="0" borderId="59" xfId="0" applyFont="1" applyBorder="1" applyAlignment="1">
      <alignment vertical="top" wrapText="1"/>
    </xf>
    <xf numFmtId="3" fontId="46" fillId="0" borderId="30" xfId="0" applyNumberFormat="1" applyFont="1" applyBorder="1" applyAlignment="1">
      <alignment vertical="top"/>
    </xf>
    <xf numFmtId="3" fontId="46" fillId="0" borderId="23" xfId="0" applyNumberFormat="1" applyFont="1" applyBorder="1" applyAlignment="1">
      <alignment horizontal="right" vertical="top" wrapText="1"/>
    </xf>
    <xf numFmtId="3" fontId="46" fillId="0" borderId="108" xfId="0" applyNumberFormat="1" applyFont="1" applyBorder="1" applyAlignment="1">
      <alignment horizontal="right" vertical="top" wrapText="1"/>
    </xf>
    <xf numFmtId="3" fontId="46" fillId="0" borderId="25" xfId="0" applyNumberFormat="1" applyFont="1" applyBorder="1" applyAlignment="1">
      <alignment horizontal="right" vertical="top" wrapText="1"/>
    </xf>
    <xf numFmtId="0" fontId="46" fillId="0" borderId="39" xfId="0" applyFont="1" applyBorder="1" applyAlignment="1">
      <alignment vertical="top" wrapText="1"/>
    </xf>
    <xf numFmtId="3" fontId="46" fillId="0" borderId="39"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46" fillId="0" borderId="26" xfId="0" applyFont="1" applyBorder="1" applyAlignment="1">
      <alignment vertical="top" wrapText="1"/>
    </xf>
    <xf numFmtId="3" fontId="46" fillId="0" borderId="26" xfId="0" applyNumberFormat="1" applyFont="1" applyBorder="1" applyAlignment="1">
      <alignment vertical="top"/>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46" fillId="0" borderId="35" xfId="0" applyFont="1" applyBorder="1" applyAlignment="1">
      <alignment vertical="top" wrapText="1"/>
    </xf>
    <xf numFmtId="3" fontId="46"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46" fillId="0" borderId="23" xfId="0" applyFont="1" applyBorder="1" applyAlignment="1">
      <alignment horizontal="right" vertical="top" wrapText="1"/>
    </xf>
    <xf numFmtId="0" fontId="46" fillId="0" borderId="106" xfId="0" applyFont="1" applyBorder="1" applyAlignment="1">
      <alignment horizontal="right" vertical="top" wrapText="1"/>
    </xf>
    <xf numFmtId="0" fontId="46" fillId="0" borderId="73" xfId="0" applyFont="1" applyBorder="1" applyAlignment="1">
      <alignment vertical="top" wrapText="1"/>
    </xf>
    <xf numFmtId="3" fontId="46" fillId="0" borderId="59" xfId="0" applyNumberFormat="1" applyFont="1" applyBorder="1" applyAlignment="1">
      <alignment horizontal="right" vertical="top" wrapText="1"/>
    </xf>
    <xf numFmtId="3" fontId="46" fillId="0" borderId="107" xfId="0" applyNumberFormat="1" applyFont="1" applyBorder="1" applyAlignment="1">
      <alignment horizontal="right" vertical="top" wrapText="1"/>
    </xf>
    <xf numFmtId="3" fontId="46" fillId="0" borderId="105" xfId="0" applyNumberFormat="1" applyFont="1" applyBorder="1" applyAlignment="1">
      <alignment horizontal="right" vertical="top" wrapText="1"/>
    </xf>
    <xf numFmtId="3" fontId="46" fillId="0" borderId="57" xfId="0" applyNumberFormat="1" applyFont="1" applyBorder="1" applyAlignment="1">
      <alignment horizontal="right" vertical="top" wrapText="1"/>
    </xf>
    <xf numFmtId="0" fontId="36" fillId="0" borderId="40" xfId="0" applyFont="1" applyBorder="1" applyAlignment="1">
      <alignment vertical="top" wrapText="1"/>
    </xf>
    <xf numFmtId="3" fontId="46" fillId="0" borderId="40" xfId="0" applyNumberFormat="1" applyFont="1" applyBorder="1" applyAlignment="1">
      <alignment vertical="top"/>
    </xf>
    <xf numFmtId="3" fontId="2" fillId="0" borderId="74"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46"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6" fillId="0" borderId="73" xfId="0" applyFont="1" applyBorder="1" applyAlignment="1">
      <alignment vertical="top" wrapText="1"/>
    </xf>
    <xf numFmtId="3" fontId="46" fillId="0" borderId="37" xfId="0" applyNumberFormat="1" applyFont="1" applyBorder="1" applyAlignment="1">
      <alignment vertical="top"/>
    </xf>
    <xf numFmtId="3" fontId="2" fillId="0" borderId="72"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3" fontId="45" fillId="12" borderId="4" xfId="0" applyNumberFormat="1" applyFont="1" applyFill="1" applyBorder="1" applyAlignment="1">
      <alignment vertical="top"/>
    </xf>
    <xf numFmtId="3" fontId="45" fillId="12" borderId="68" xfId="0" applyNumberFormat="1" applyFont="1" applyFill="1" applyBorder="1" applyAlignment="1">
      <alignment vertical="top"/>
    </xf>
    <xf numFmtId="3" fontId="45" fillId="12" borderId="6" xfId="0" applyNumberFormat="1" applyFont="1" applyFill="1" applyBorder="1" applyAlignment="1">
      <alignment vertical="top"/>
    </xf>
    <xf numFmtId="3" fontId="45" fillId="12" borderId="19" xfId="0" applyNumberFormat="1" applyFont="1" applyFill="1" applyBorder="1" applyAlignment="1">
      <alignment horizontal="right" vertical="top"/>
    </xf>
    <xf numFmtId="3" fontId="45" fillId="12" borderId="3" xfId="0" applyNumberFormat="1" applyFont="1" applyFill="1" applyBorder="1" applyAlignment="1">
      <alignment horizontal="right" vertical="top"/>
    </xf>
    <xf numFmtId="3" fontId="45" fillId="12" borderId="12" xfId="0" applyNumberFormat="1" applyFont="1" applyFill="1" applyBorder="1" applyAlignment="1">
      <alignment horizontal="right" vertical="top"/>
    </xf>
    <xf numFmtId="3" fontId="45" fillId="12" borderId="13" xfId="0" applyNumberFormat="1" applyFont="1" applyFill="1" applyBorder="1" applyAlignment="1">
      <alignment horizontal="right" vertical="top"/>
    </xf>
    <xf numFmtId="3" fontId="45" fillId="12" borderId="44" xfId="0" applyNumberFormat="1" applyFont="1" applyFill="1" applyBorder="1" applyAlignment="1">
      <alignment horizontal="right" vertical="top"/>
    </xf>
    <xf numFmtId="3" fontId="45" fillId="12" borderId="45" xfId="0" applyNumberFormat="1" applyFont="1" applyFill="1" applyBorder="1" applyAlignment="1">
      <alignment horizontal="right" vertical="top"/>
    </xf>
    <xf numFmtId="3" fontId="45" fillId="12" borderId="48" xfId="0" applyNumberFormat="1" applyFont="1" applyFill="1" applyBorder="1" applyAlignment="1">
      <alignment horizontal="right" vertical="top"/>
    </xf>
    <xf numFmtId="3" fontId="45" fillId="12" borderId="50" xfId="0" applyNumberFormat="1" applyFont="1" applyFill="1" applyBorder="1" applyAlignment="1">
      <alignment horizontal="right" vertical="top"/>
    </xf>
    <xf numFmtId="0" fontId="27" fillId="14" borderId="3" xfId="0" applyFont="1" applyFill="1" applyBorder="1" applyAlignment="1">
      <alignment horizontal="center" vertical="top" wrapText="1"/>
    </xf>
    <xf numFmtId="0" fontId="26" fillId="0" borderId="0" xfId="0" applyFont="1"/>
    <xf numFmtId="0" fontId="26" fillId="0" borderId="0" xfId="0" applyFont="1" applyAlignment="1">
      <alignment vertical="top"/>
    </xf>
    <xf numFmtId="0" fontId="26" fillId="0" borderId="0" xfId="0" applyFont="1" applyAlignment="1">
      <alignment horizontal="left" vertical="top"/>
    </xf>
    <xf numFmtId="3" fontId="0" fillId="0" borderId="68" xfId="0" applyNumberFormat="1" applyBorder="1" applyAlignment="1">
      <alignment vertical="top"/>
    </xf>
    <xf numFmtId="3" fontId="0" fillId="0" borderId="17" xfId="0" applyNumberFormat="1" applyBorder="1" applyAlignment="1">
      <alignment vertical="top"/>
    </xf>
    <xf numFmtId="0" fontId="0" fillId="11" borderId="0" xfId="0" applyFill="1" applyAlignment="1">
      <alignment vertical="top"/>
    </xf>
    <xf numFmtId="3" fontId="0" fillId="11" borderId="4" xfId="0" applyNumberFormat="1" applyFill="1" applyBorder="1" applyAlignment="1">
      <alignment vertical="top"/>
    </xf>
    <xf numFmtId="3" fontId="0" fillId="11" borderId="5" xfId="0" applyNumberFormat="1" applyFill="1" applyBorder="1" applyAlignment="1">
      <alignment vertical="top"/>
    </xf>
    <xf numFmtId="3" fontId="0" fillId="11" borderId="6" xfId="0" applyNumberFormat="1" applyFill="1" applyBorder="1" applyAlignment="1">
      <alignment vertical="top"/>
    </xf>
    <xf numFmtId="3" fontId="0" fillId="11" borderId="18" xfId="0" applyNumberFormat="1" applyFill="1" applyBorder="1" applyAlignment="1">
      <alignment vertical="top"/>
    </xf>
    <xf numFmtId="3" fontId="0" fillId="11" borderId="16" xfId="0" applyNumberFormat="1" applyFill="1" applyBorder="1" applyAlignment="1">
      <alignment vertical="top"/>
    </xf>
    <xf numFmtId="3" fontId="0" fillId="11" borderId="15" xfId="0" applyNumberFormat="1" applyFill="1" applyBorder="1" applyAlignment="1">
      <alignment vertical="top"/>
    </xf>
    <xf numFmtId="3" fontId="0" fillId="11" borderId="0" xfId="0" applyNumberFormat="1" applyFill="1" applyAlignment="1">
      <alignment vertical="top"/>
    </xf>
    <xf numFmtId="3" fontId="0" fillId="11" borderId="68" xfId="0" applyNumberFormat="1" applyFill="1" applyBorder="1" applyAlignment="1">
      <alignment vertical="top"/>
    </xf>
    <xf numFmtId="3" fontId="0" fillId="11" borderId="17" xfId="0" applyNumberFormat="1" applyFill="1" applyBorder="1" applyAlignment="1">
      <alignment vertical="top"/>
    </xf>
    <xf numFmtId="3" fontId="0" fillId="13" borderId="4" xfId="0" applyNumberFormat="1" applyFill="1" applyBorder="1" applyAlignment="1">
      <alignment vertical="top"/>
    </xf>
    <xf numFmtId="3" fontId="0" fillId="13" borderId="5" xfId="0" applyNumberFormat="1" applyFill="1" applyBorder="1" applyAlignment="1">
      <alignment vertical="top"/>
    </xf>
    <xf numFmtId="3" fontId="0" fillId="13" borderId="18" xfId="0" applyNumberFormat="1" applyFill="1" applyBorder="1" applyAlignment="1">
      <alignment vertical="top"/>
    </xf>
    <xf numFmtId="3" fontId="0" fillId="13" borderId="16" xfId="0" applyNumberFormat="1" applyFill="1" applyBorder="1" applyAlignment="1">
      <alignment vertical="top"/>
    </xf>
    <xf numFmtId="3" fontId="0" fillId="13" borderId="0" xfId="0" applyNumberFormat="1" applyFill="1" applyAlignment="1">
      <alignment vertical="top"/>
    </xf>
    <xf numFmtId="0" fontId="0" fillId="13" borderId="0" xfId="0" applyFill="1" applyAlignment="1">
      <alignment vertical="top"/>
    </xf>
    <xf numFmtId="3" fontId="0" fillId="13" borderId="68" xfId="0" applyNumberFormat="1" applyFill="1" applyBorder="1" applyAlignment="1">
      <alignment vertical="top"/>
    </xf>
    <xf numFmtId="3" fontId="0" fillId="13" borderId="17" xfId="0" applyNumberFormat="1" applyFill="1" applyBorder="1" applyAlignment="1">
      <alignment vertical="top"/>
    </xf>
    <xf numFmtId="3" fontId="0" fillId="11" borderId="33" xfId="0" applyNumberFormat="1" applyFill="1" applyBorder="1" applyAlignment="1">
      <alignment vertical="top"/>
    </xf>
    <xf numFmtId="3" fontId="4" fillId="11" borderId="35" xfId="0" applyNumberFormat="1" applyFont="1" applyFill="1" applyBorder="1" applyAlignment="1" applyProtection="1">
      <alignment horizontal="left" vertical="top" wrapText="1"/>
      <protection locked="0"/>
    </xf>
    <xf numFmtId="0" fontId="4" fillId="0" borderId="0" xfId="0" applyFont="1" applyAlignment="1">
      <alignment horizontal="left" vertical="top"/>
    </xf>
    <xf numFmtId="0" fontId="52" fillId="9" borderId="3" xfId="0" applyFont="1" applyFill="1" applyBorder="1" applyAlignment="1">
      <alignment horizontal="left" vertical="top" wrapText="1"/>
    </xf>
    <xf numFmtId="14" fontId="52" fillId="9" borderId="3" xfId="0" applyNumberFormat="1" applyFont="1" applyFill="1" applyBorder="1" applyAlignment="1">
      <alignment horizontal="center" vertical="top" wrapText="1"/>
    </xf>
    <xf numFmtId="0" fontId="52" fillId="9" borderId="3" xfId="0" applyFont="1" applyFill="1" applyBorder="1" applyAlignment="1">
      <alignment horizontal="center" vertical="top" wrapText="1"/>
    </xf>
    <xf numFmtId="3" fontId="52" fillId="0" borderId="3" xfId="0" applyNumberFormat="1" applyFont="1" applyBorder="1" applyAlignment="1">
      <alignment horizontal="left" vertical="top" wrapText="1"/>
    </xf>
    <xf numFmtId="3" fontId="51" fillId="0" borderId="21" xfId="0" applyNumberFormat="1" applyFont="1" applyBorder="1" applyAlignment="1">
      <alignment horizontal="center" vertical="top" wrapText="1"/>
    </xf>
    <xf numFmtId="3" fontId="52" fillId="0" borderId="11" xfId="0" applyNumberFormat="1" applyFont="1" applyBorder="1" applyAlignment="1">
      <alignment horizontal="left" vertical="top" wrapText="1"/>
    </xf>
    <xf numFmtId="3" fontId="52" fillId="0" borderId="3" xfId="0" applyNumberFormat="1" applyFont="1" applyBorder="1" applyAlignment="1">
      <alignment horizontal="center" vertical="top" wrapText="1"/>
    </xf>
    <xf numFmtId="165" fontId="50" fillId="0" borderId="3" xfId="0" applyNumberFormat="1" applyFont="1" applyBorder="1" applyAlignment="1">
      <alignment horizontal="center"/>
    </xf>
    <xf numFmtId="0" fontId="1" fillId="0" borderId="3" xfId="0" applyFont="1" applyBorder="1" applyAlignment="1">
      <alignment horizontal="center" vertical="center"/>
    </xf>
    <xf numFmtId="3" fontId="16" fillId="0" borderId="3"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16" fillId="0" borderId="21" xfId="0" applyNumberFormat="1" applyFont="1" applyBorder="1" applyAlignment="1">
      <alignment horizontal="center" vertical="center"/>
    </xf>
    <xf numFmtId="3" fontId="19" fillId="0" borderId="21" xfId="0" applyNumberFormat="1" applyFont="1" applyBorder="1" applyAlignment="1">
      <alignment horizontal="center" vertical="center"/>
    </xf>
    <xf numFmtId="3" fontId="1" fillId="0" borderId="3" xfId="0" applyNumberFormat="1" applyFont="1" applyBorder="1" applyAlignment="1">
      <alignment horizontal="center" vertical="center"/>
    </xf>
    <xf numFmtId="0" fontId="1" fillId="0" borderId="3" xfId="0" applyFont="1" applyBorder="1" applyAlignment="1">
      <alignment vertical="center"/>
    </xf>
    <xf numFmtId="0" fontId="15" fillId="0" borderId="3"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3" fontId="16" fillId="0" borderId="3" xfId="0" applyNumberFormat="1" applyFont="1" applyBorder="1" applyAlignment="1">
      <alignment vertical="center"/>
    </xf>
    <xf numFmtId="3" fontId="19" fillId="0" borderId="3" xfId="0" applyNumberFormat="1" applyFont="1" applyBorder="1" applyAlignment="1">
      <alignment vertical="center"/>
    </xf>
    <xf numFmtId="3" fontId="1" fillId="0" borderId="3" xfId="0" applyNumberFormat="1" applyFont="1" applyBorder="1" applyAlignment="1">
      <alignment vertical="center"/>
    </xf>
    <xf numFmtId="3" fontId="53" fillId="12" borderId="14" xfId="0" applyNumberFormat="1" applyFont="1" applyFill="1" applyBorder="1" applyAlignment="1">
      <alignment vertical="top"/>
    </xf>
    <xf numFmtId="3" fontId="19" fillId="12" borderId="39" xfId="0" applyNumberFormat="1" applyFont="1" applyFill="1" applyBorder="1" applyAlignment="1">
      <alignment vertical="top"/>
    </xf>
    <xf numFmtId="3" fontId="19" fillId="12" borderId="74" xfId="0" applyNumberFormat="1" applyFont="1" applyFill="1" applyBorder="1" applyAlignment="1">
      <alignment vertical="top"/>
    </xf>
    <xf numFmtId="0" fontId="55" fillId="0" borderId="3" xfId="0" applyFont="1" applyBorder="1" applyAlignment="1">
      <alignment horizontal="left" vertical="top"/>
    </xf>
    <xf numFmtId="0" fontId="55" fillId="0" borderId="11" xfId="0" applyFont="1" applyBorder="1" applyAlignment="1">
      <alignment horizontal="center"/>
    </xf>
    <xf numFmtId="0" fontId="56" fillId="0" borderId="3" xfId="0" applyFont="1" applyBorder="1" applyAlignment="1">
      <alignment horizontal="left" vertical="top"/>
    </xf>
    <xf numFmtId="0" fontId="56" fillId="0" borderId="3" xfId="0" applyFont="1" applyBorder="1" applyAlignment="1">
      <alignment horizontal="center" vertical="top"/>
    </xf>
    <xf numFmtId="0" fontId="56" fillId="0" borderId="0" xfId="0" applyFont="1"/>
    <xf numFmtId="0" fontId="56" fillId="0" borderId="0" xfId="0" applyFont="1" applyAlignment="1">
      <alignment vertical="top"/>
    </xf>
    <xf numFmtId="0" fontId="56" fillId="0" borderId="3" xfId="0" applyFont="1" applyBorder="1" applyAlignment="1">
      <alignment horizontal="left" vertical="center"/>
    </xf>
    <xf numFmtId="0" fontId="56" fillId="0" borderId="3" xfId="0" applyFont="1" applyBorder="1" applyAlignment="1">
      <alignment horizontal="center" vertical="center"/>
    </xf>
    <xf numFmtId="0" fontId="56" fillId="0" borderId="3" xfId="0" applyFont="1" applyBorder="1" applyAlignment="1">
      <alignment vertical="center"/>
    </xf>
    <xf numFmtId="1" fontId="56" fillId="0" borderId="3" xfId="0" applyNumberFormat="1" applyFont="1" applyBorder="1" applyAlignment="1">
      <alignment horizontal="right" vertical="center"/>
    </xf>
    <xf numFmtId="0" fontId="54" fillId="0" borderId="21" xfId="0" applyFont="1" applyBorder="1" applyAlignment="1">
      <alignment horizontal="left" vertical="center"/>
    </xf>
    <xf numFmtId="0" fontId="55" fillId="0" borderId="3" xfId="0" applyFont="1" applyBorder="1" applyAlignment="1">
      <alignment horizontal="left" vertical="center"/>
    </xf>
    <xf numFmtId="0" fontId="56" fillId="0" borderId="11" xfId="0" applyFont="1" applyBorder="1" applyAlignment="1">
      <alignment horizontal="left" vertical="top"/>
    </xf>
    <xf numFmtId="0" fontId="56" fillId="0" borderId="11" xfId="0" applyFont="1" applyBorder="1" applyAlignment="1">
      <alignment horizontal="center" vertical="center"/>
    </xf>
    <xf numFmtId="0" fontId="56" fillId="0" borderId="19" xfId="0" applyFont="1" applyBorder="1" applyAlignment="1">
      <alignment horizontal="center" vertical="center"/>
    </xf>
    <xf numFmtId="0" fontId="56" fillId="0" borderId="74" xfId="0" applyFont="1" applyBorder="1" applyAlignment="1">
      <alignment horizontal="center" vertical="center"/>
    </xf>
    <xf numFmtId="0" fontId="55" fillId="0" borderId="11" xfId="0" applyFont="1" applyBorder="1" applyAlignment="1">
      <alignment horizontal="left" vertical="top"/>
    </xf>
    <xf numFmtId="0" fontId="56" fillId="0" borderId="1" xfId="0" applyFont="1" applyBorder="1" applyAlignment="1">
      <alignment horizontal="left" vertical="center"/>
    </xf>
    <xf numFmtId="0" fontId="56" fillId="0" borderId="3" xfId="0" applyFont="1" applyBorder="1" applyAlignment="1">
      <alignment horizontal="right" vertical="center"/>
    </xf>
    <xf numFmtId="0" fontId="56" fillId="0" borderId="19" xfId="0" applyFont="1" applyBorder="1" applyAlignment="1">
      <alignment horizontal="center" vertical="top"/>
    </xf>
    <xf numFmtId="0" fontId="57" fillId="0" borderId="3" xfId="0" applyFont="1" applyBorder="1" applyAlignment="1">
      <alignment horizontal="right" vertical="center"/>
    </xf>
    <xf numFmtId="0" fontId="58" fillId="0" borderId="0" xfId="0" applyFont="1" applyAlignment="1">
      <alignment vertical="top"/>
    </xf>
    <xf numFmtId="0" fontId="0" fillId="0" borderId="3" xfId="0" applyBorder="1"/>
    <xf numFmtId="0" fontId="54" fillId="0" borderId="0" xfId="0" applyFont="1" applyAlignment="1">
      <alignment horizontal="left" vertical="center"/>
    </xf>
    <xf numFmtId="0" fontId="56" fillId="0" borderId="0" xfId="0" applyFont="1" applyAlignment="1">
      <alignment horizontal="left" vertical="center"/>
    </xf>
    <xf numFmtId="0" fontId="56" fillId="0" borderId="0" xfId="0" applyFont="1" applyAlignment="1">
      <alignment horizontal="center" vertical="center"/>
    </xf>
    <xf numFmtId="1" fontId="55" fillId="0" borderId="0" xfId="0" applyNumberFormat="1" applyFont="1" applyAlignment="1">
      <alignment horizontal="right" vertical="center"/>
    </xf>
    <xf numFmtId="0" fontId="56" fillId="0" borderId="0" xfId="0" applyFont="1" applyAlignment="1">
      <alignment horizontal="right" vertical="center"/>
    </xf>
    <xf numFmtId="3" fontId="2" fillId="11" borderId="35" xfId="0" applyNumberFormat="1" applyFont="1" applyFill="1" applyBorder="1" applyAlignment="1" applyProtection="1">
      <alignment horizontal="left" vertical="top" wrapText="1"/>
      <protection locked="0"/>
    </xf>
    <xf numFmtId="0" fontId="27" fillId="14" borderId="0" xfId="0" applyFont="1" applyFill="1" applyAlignment="1">
      <alignment horizontal="center" vertical="top" wrapText="1"/>
    </xf>
    <xf numFmtId="0" fontId="30" fillId="14" borderId="0" xfId="0" applyFont="1" applyFill="1" applyAlignment="1">
      <alignment horizontal="center" vertical="top" wrapText="1"/>
    </xf>
    <xf numFmtId="3" fontId="56" fillId="0" borderId="0" xfId="0" applyNumberFormat="1" applyFont="1" applyAlignment="1">
      <alignment horizontal="center" vertical="center"/>
    </xf>
    <xf numFmtId="3" fontId="0" fillId="0" borderId="0" xfId="0" applyNumberFormat="1"/>
    <xf numFmtId="0" fontId="15" fillId="0" borderId="3" xfId="0" applyFont="1" applyBorder="1" applyAlignment="1">
      <alignment horizontal="left" vertical="top" wrapText="1"/>
    </xf>
    <xf numFmtId="0" fontId="18" fillId="0" borderId="3" xfId="0" applyFont="1" applyBorder="1"/>
    <xf numFmtId="0" fontId="18" fillId="0" borderId="3" xfId="0" applyFont="1" applyBorder="1" applyAlignment="1">
      <alignment horizontal="center" vertical="top"/>
    </xf>
    <xf numFmtId="0" fontId="18" fillId="0" borderId="11" xfId="0" applyFont="1" applyBorder="1" applyAlignment="1">
      <alignment horizontal="center"/>
    </xf>
    <xf numFmtId="0" fontId="18" fillId="0" borderId="3" xfId="0" applyFont="1" applyBorder="1" applyAlignment="1">
      <alignment horizontal="center"/>
    </xf>
    <xf numFmtId="1" fontId="18" fillId="0" borderId="3" xfId="0" applyNumberFormat="1" applyFont="1" applyBorder="1" applyAlignment="1">
      <alignment horizontal="right"/>
    </xf>
    <xf numFmtId="0" fontId="18" fillId="0" borderId="3" xfId="0" applyFont="1" applyBorder="1" applyAlignment="1">
      <alignment horizontal="left" vertical="top"/>
    </xf>
    <xf numFmtId="0" fontId="18" fillId="0" borderId="19" xfId="0" applyFont="1" applyBorder="1" applyAlignment="1">
      <alignment horizontal="center" vertical="top"/>
    </xf>
    <xf numFmtId="0" fontId="18" fillId="0" borderId="19" xfId="0" applyFont="1" applyBorder="1" applyAlignment="1">
      <alignment horizontal="center" vertical="center"/>
    </xf>
    <xf numFmtId="3" fontId="18" fillId="0" borderId="3" xfId="0" applyNumberFormat="1" applyFont="1" applyBorder="1" applyAlignment="1">
      <alignment horizontal="center" vertical="center"/>
    </xf>
    <xf numFmtId="0" fontId="20" fillId="0" borderId="11" xfId="0" applyFont="1" applyBorder="1" applyAlignment="1">
      <alignment horizontal="left" vertical="top"/>
    </xf>
    <xf numFmtId="0" fontId="20" fillId="0" borderId="3" xfId="0" applyFont="1" applyBorder="1" applyAlignment="1">
      <alignment horizontal="center" vertical="top"/>
    </xf>
    <xf numFmtId="0" fontId="50" fillId="0" borderId="3" xfId="0" applyFont="1" applyBorder="1" applyAlignment="1">
      <alignment horizontal="left" vertical="top" wrapText="1"/>
    </xf>
    <xf numFmtId="0" fontId="20" fillId="0" borderId="11"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left" vertical="top"/>
    </xf>
    <xf numFmtId="0" fontId="20" fillId="0" borderId="19" xfId="0" applyFont="1" applyBorder="1" applyAlignment="1">
      <alignment horizontal="center" vertical="top"/>
    </xf>
    <xf numFmtId="0" fontId="20" fillId="0" borderId="19" xfId="0" applyFont="1" applyBorder="1" applyAlignment="1">
      <alignment horizontal="center" vertical="center"/>
    </xf>
    <xf numFmtId="3" fontId="20" fillId="0" borderId="3" xfId="0" applyNumberFormat="1" applyFont="1" applyBorder="1" applyAlignment="1">
      <alignment horizontal="center" vertical="center"/>
    </xf>
    <xf numFmtId="0" fontId="14" fillId="0" borderId="0" xfId="0" applyFont="1" applyAlignment="1">
      <alignment vertical="top"/>
    </xf>
    <xf numFmtId="0" fontId="20" fillId="0" borderId="3" xfId="0" applyFont="1" applyBorder="1"/>
    <xf numFmtId="0" fontId="20" fillId="0" borderId="0" xfId="0" applyFont="1" applyAlignment="1">
      <alignment vertical="top"/>
    </xf>
    <xf numFmtId="3" fontId="14" fillId="0" borderId="0" xfId="0" applyNumberFormat="1" applyFont="1" applyAlignment="1">
      <alignment vertical="top"/>
    </xf>
    <xf numFmtId="3" fontId="20" fillId="0" borderId="0" xfId="0" applyNumberFormat="1" applyFont="1" applyAlignment="1">
      <alignment vertical="top"/>
    </xf>
    <xf numFmtId="0" fontId="18" fillId="0" borderId="11" xfId="0" applyFont="1" applyBorder="1" applyAlignment="1">
      <alignment horizontal="left" vertical="top"/>
    </xf>
    <xf numFmtId="3" fontId="18" fillId="0" borderId="0" xfId="0" applyNumberFormat="1" applyFont="1" applyAlignment="1">
      <alignment vertical="top"/>
    </xf>
    <xf numFmtId="1" fontId="18" fillId="0" borderId="3" xfId="0" applyNumberFormat="1" applyFont="1" applyBorder="1"/>
    <xf numFmtId="0" fontId="18" fillId="0" borderId="3" xfId="0" applyFont="1" applyBorder="1" applyAlignment="1">
      <alignment horizontal="center" vertical="center"/>
    </xf>
    <xf numFmtId="3" fontId="18" fillId="0" borderId="0" xfId="0" applyNumberFormat="1" applyFont="1" applyAlignment="1">
      <alignment horizontal="left" vertical="center"/>
    </xf>
    <xf numFmtId="1" fontId="18" fillId="0" borderId="3" xfId="0" applyNumberFormat="1" applyFont="1" applyBorder="1" applyAlignment="1">
      <alignment horizontal="center"/>
    </xf>
    <xf numFmtId="1" fontId="18" fillId="0" borderId="0" xfId="0" applyNumberFormat="1" applyFont="1" applyAlignment="1">
      <alignment vertical="top"/>
    </xf>
    <xf numFmtId="3" fontId="18" fillId="0" borderId="0" xfId="0" applyNumberFormat="1" applyFont="1"/>
    <xf numFmtId="49" fontId="13" fillId="4" borderId="7" xfId="0" applyNumberFormat="1" applyFont="1" applyFill="1" applyBorder="1" applyAlignment="1">
      <alignment horizontal="center" vertical="top" wrapText="1"/>
    </xf>
    <xf numFmtId="164" fontId="58" fillId="4" borderId="23" xfId="0" applyNumberFormat="1" applyFont="1" applyFill="1" applyBorder="1" applyAlignment="1">
      <alignment horizontal="center" vertical="top" wrapText="1"/>
    </xf>
    <xf numFmtId="164" fontId="58" fillId="4" borderId="30" xfId="0" applyNumberFormat="1" applyFont="1" applyFill="1" applyBorder="1" applyAlignment="1">
      <alignment horizontal="center" vertical="top" wrapText="1"/>
    </xf>
    <xf numFmtId="164" fontId="58" fillId="4" borderId="7" xfId="0" applyNumberFormat="1" applyFont="1" applyFill="1" applyBorder="1" applyAlignment="1">
      <alignment horizontal="center" vertical="top" wrapText="1"/>
    </xf>
    <xf numFmtId="164" fontId="58" fillId="4" borderId="10" xfId="0" applyNumberFormat="1" applyFont="1" applyFill="1" applyBorder="1" applyAlignment="1">
      <alignment horizontal="center" vertical="top" wrapText="1"/>
    </xf>
    <xf numFmtId="3" fontId="19" fillId="11" borderId="22" xfId="0" applyNumberFormat="1" applyFont="1" applyFill="1" applyBorder="1" applyAlignment="1" applyProtection="1">
      <alignment vertical="top"/>
      <protection locked="0"/>
    </xf>
    <xf numFmtId="3" fontId="19" fillId="11" borderId="2" xfId="0" applyNumberFormat="1" applyFont="1" applyFill="1" applyBorder="1" applyAlignment="1" applyProtection="1">
      <alignment vertical="top"/>
      <protection locked="0"/>
    </xf>
    <xf numFmtId="3" fontId="19" fillId="11" borderId="39" xfId="0" applyNumberFormat="1" applyFont="1" applyFill="1" applyBorder="1" applyAlignment="1" applyProtection="1">
      <alignment vertical="top"/>
      <protection locked="0"/>
    </xf>
    <xf numFmtId="3" fontId="19" fillId="11" borderId="14" xfId="0" applyNumberFormat="1" applyFont="1" applyFill="1" applyBorder="1" applyAlignment="1" applyProtection="1">
      <alignment vertical="top"/>
      <protection locked="0"/>
    </xf>
    <xf numFmtId="3" fontId="19" fillId="11" borderId="4" xfId="0" applyNumberFormat="1" applyFont="1" applyFill="1" applyBorder="1" applyAlignment="1" applyProtection="1">
      <alignment vertical="top"/>
      <protection locked="0"/>
    </xf>
    <xf numFmtId="3" fontId="19" fillId="11" borderId="5" xfId="0" applyNumberFormat="1" applyFont="1" applyFill="1" applyBorder="1" applyAlignment="1" applyProtection="1">
      <alignment vertical="top"/>
      <protection locked="0"/>
    </xf>
    <xf numFmtId="3" fontId="19" fillId="11" borderId="6" xfId="0" applyNumberFormat="1" applyFont="1" applyFill="1" applyBorder="1" applyAlignment="1" applyProtection="1">
      <alignment vertical="top"/>
      <protection locked="0"/>
    </xf>
    <xf numFmtId="0" fontId="18" fillId="11" borderId="1" xfId="0" applyFont="1" applyFill="1" applyBorder="1" applyAlignment="1" applyProtection="1">
      <alignment vertical="top"/>
      <protection locked="0"/>
    </xf>
    <xf numFmtId="0" fontId="18" fillId="11" borderId="14" xfId="0" applyFont="1" applyFill="1" applyBorder="1" applyAlignment="1" applyProtection="1">
      <alignment vertical="top"/>
      <protection locked="0"/>
    </xf>
    <xf numFmtId="3" fontId="19" fillId="11" borderId="13" xfId="0" applyNumberFormat="1" applyFont="1" applyFill="1" applyBorder="1" applyAlignment="1" applyProtection="1">
      <alignment vertical="top"/>
      <protection locked="0"/>
    </xf>
    <xf numFmtId="3" fontId="19" fillId="11" borderId="3" xfId="0" applyNumberFormat="1" applyFont="1" applyFill="1" applyBorder="1" applyAlignment="1" applyProtection="1">
      <alignment vertical="top"/>
      <protection locked="0"/>
    </xf>
    <xf numFmtId="3" fontId="19" fillId="11" borderId="12" xfId="0" applyNumberFormat="1" applyFont="1" applyFill="1" applyBorder="1" applyAlignment="1" applyProtection="1">
      <alignment vertical="top"/>
      <protection locked="0"/>
    </xf>
    <xf numFmtId="4" fontId="19" fillId="11" borderId="2" xfId="0" applyNumberFormat="1" applyFont="1" applyFill="1" applyBorder="1" applyAlignment="1" applyProtection="1">
      <alignment vertical="top"/>
      <protection locked="0"/>
    </xf>
    <xf numFmtId="3" fontId="19" fillId="11" borderId="20" xfId="0" applyNumberFormat="1" applyFont="1" applyFill="1" applyBorder="1" applyAlignment="1" applyProtection="1">
      <alignment vertical="top"/>
      <protection locked="0"/>
    </xf>
    <xf numFmtId="3" fontId="19" fillId="11" borderId="11" xfId="0" applyNumberFormat="1" applyFont="1" applyFill="1" applyBorder="1" applyAlignment="1" applyProtection="1">
      <alignment vertical="top"/>
      <protection locked="0"/>
    </xf>
    <xf numFmtId="3" fontId="19" fillId="11" borderId="26" xfId="0" applyNumberFormat="1" applyFont="1" applyFill="1" applyBorder="1" applyAlignment="1" applyProtection="1">
      <alignment vertical="top"/>
      <protection locked="0"/>
    </xf>
    <xf numFmtId="3" fontId="19" fillId="11" borderId="13" xfId="0" applyNumberFormat="1" applyFont="1" applyFill="1" applyBorder="1" applyAlignment="1" applyProtection="1">
      <alignment horizontal="right" vertical="top"/>
      <protection locked="0"/>
    </xf>
    <xf numFmtId="3" fontId="19" fillId="11" borderId="3" xfId="0" applyNumberFormat="1" applyFont="1" applyFill="1" applyBorder="1" applyAlignment="1" applyProtection="1">
      <alignment horizontal="right" vertical="top"/>
      <protection locked="0"/>
    </xf>
    <xf numFmtId="3" fontId="19" fillId="11" borderId="12" xfId="0" applyNumberFormat="1" applyFont="1" applyFill="1" applyBorder="1" applyAlignment="1" applyProtection="1">
      <alignment horizontal="right" vertical="top"/>
      <protection locked="0"/>
    </xf>
    <xf numFmtId="3" fontId="19" fillId="11" borderId="11" xfId="0" applyNumberFormat="1" applyFont="1" applyFill="1" applyBorder="1" applyAlignment="1" applyProtection="1">
      <alignment horizontal="right" vertical="top"/>
      <protection locked="0"/>
    </xf>
    <xf numFmtId="0" fontId="13" fillId="0" borderId="0" xfId="0" applyFont="1" applyAlignment="1">
      <alignment vertical="top"/>
    </xf>
    <xf numFmtId="0" fontId="15" fillId="0" borderId="0" xfId="0" applyFont="1" applyAlignment="1">
      <alignment vertical="top"/>
    </xf>
    <xf numFmtId="0" fontId="18" fillId="0" borderId="0" xfId="0" applyFont="1" applyAlignment="1">
      <alignment horizontal="left" vertical="top"/>
    </xf>
    <xf numFmtId="3" fontId="18" fillId="0" borderId="4" xfId="0" applyNumberFormat="1" applyFont="1" applyBorder="1" applyAlignment="1">
      <alignment vertical="top"/>
    </xf>
    <xf numFmtId="0" fontId="18" fillId="0" borderId="5" xfId="0" applyFont="1" applyBorder="1" applyAlignment="1">
      <alignment vertical="top"/>
    </xf>
    <xf numFmtId="0" fontId="18" fillId="0" borderId="6" xfId="0" applyFont="1" applyBorder="1" applyAlignment="1">
      <alignment vertical="top"/>
    </xf>
    <xf numFmtId="0" fontId="18" fillId="0" borderId="4" xfId="0" applyFont="1" applyBorder="1" applyAlignment="1">
      <alignment vertical="top"/>
    </xf>
    <xf numFmtId="3" fontId="18" fillId="0" borderId="18" xfId="0" applyNumberFormat="1" applyFont="1" applyBorder="1" applyAlignment="1">
      <alignment vertical="top"/>
    </xf>
    <xf numFmtId="3" fontId="18" fillId="0" borderId="16" xfId="0" applyNumberFormat="1" applyFont="1" applyBorder="1" applyAlignment="1">
      <alignment vertical="top"/>
    </xf>
    <xf numFmtId="3" fontId="18" fillId="0" borderId="15" xfId="0" applyNumberFormat="1" applyFont="1" applyBorder="1" applyAlignment="1">
      <alignment vertical="top"/>
    </xf>
    <xf numFmtId="3" fontId="18" fillId="0" borderId="5" xfId="0" applyNumberFormat="1" applyFont="1" applyBorder="1" applyAlignment="1">
      <alignment vertical="top"/>
    </xf>
    <xf numFmtId="3" fontId="18" fillId="0" borderId="6" xfId="0" applyNumberFormat="1" applyFont="1" applyBorder="1" applyAlignment="1">
      <alignment vertical="top"/>
    </xf>
    <xf numFmtId="3" fontId="18" fillId="0" borderId="52" xfId="0" applyNumberFormat="1" applyFont="1" applyBorder="1" applyAlignment="1">
      <alignment vertical="top"/>
    </xf>
    <xf numFmtId="3" fontId="18" fillId="0" borderId="72" xfId="0" applyNumberFormat="1" applyFont="1" applyBorder="1" applyAlignment="1">
      <alignment vertical="top"/>
    </xf>
    <xf numFmtId="3" fontId="18" fillId="11" borderId="4" xfId="0" applyNumberFormat="1" applyFont="1" applyFill="1" applyBorder="1" applyAlignment="1">
      <alignment vertical="top"/>
    </xf>
    <xf numFmtId="0" fontId="18" fillId="11" borderId="5" xfId="0" applyFont="1" applyFill="1" applyBorder="1" applyAlignment="1">
      <alignment vertical="top"/>
    </xf>
    <xf numFmtId="0" fontId="18" fillId="11" borderId="6" xfId="0" applyFont="1" applyFill="1" applyBorder="1" applyAlignment="1">
      <alignment vertical="top"/>
    </xf>
    <xf numFmtId="0" fontId="18" fillId="11" borderId="4" xfId="0" applyFont="1" applyFill="1" applyBorder="1" applyAlignment="1">
      <alignment vertical="top"/>
    </xf>
    <xf numFmtId="3" fontId="18" fillId="11" borderId="18" xfId="0" applyNumberFormat="1" applyFont="1" applyFill="1" applyBorder="1" applyAlignment="1">
      <alignment vertical="top"/>
    </xf>
    <xf numFmtId="3" fontId="18" fillId="11" borderId="16" xfId="0" applyNumberFormat="1" applyFont="1" applyFill="1" applyBorder="1" applyAlignment="1">
      <alignment vertical="top"/>
    </xf>
    <xf numFmtId="3" fontId="18" fillId="11" borderId="15" xfId="0" applyNumberFormat="1" applyFont="1" applyFill="1" applyBorder="1" applyAlignment="1">
      <alignment vertical="top"/>
    </xf>
    <xf numFmtId="0" fontId="18" fillId="11" borderId="0" xfId="0" applyFont="1" applyFill="1" applyAlignment="1">
      <alignment vertical="top"/>
    </xf>
    <xf numFmtId="3" fontId="18" fillId="11" borderId="5" xfId="0" applyNumberFormat="1" applyFont="1" applyFill="1" applyBorder="1" applyAlignment="1">
      <alignment vertical="top"/>
    </xf>
    <xf numFmtId="3" fontId="18" fillId="11" borderId="6" xfId="0" applyNumberFormat="1" applyFont="1" applyFill="1" applyBorder="1" applyAlignment="1">
      <alignment vertical="top"/>
    </xf>
    <xf numFmtId="0" fontId="18" fillId="11" borderId="0" xfId="0" applyFont="1" applyFill="1" applyAlignment="1" applyProtection="1">
      <alignment horizontal="left" vertical="top" wrapText="1"/>
      <protection locked="0"/>
    </xf>
    <xf numFmtId="3" fontId="18" fillId="11" borderId="0" xfId="0" applyNumberFormat="1" applyFont="1" applyFill="1" applyAlignment="1">
      <alignment vertical="top"/>
    </xf>
    <xf numFmtId="3" fontId="18" fillId="11" borderId="33" xfId="0" applyNumberFormat="1" applyFont="1" applyFill="1" applyBorder="1" applyAlignment="1">
      <alignment vertical="top"/>
    </xf>
    <xf numFmtId="3" fontId="18" fillId="11" borderId="52" xfId="0" applyNumberFormat="1" applyFont="1" applyFill="1" applyBorder="1" applyAlignment="1">
      <alignment vertical="top"/>
    </xf>
    <xf numFmtId="3" fontId="18" fillId="11" borderId="72" xfId="0" applyNumberFormat="1" applyFont="1" applyFill="1" applyBorder="1" applyAlignment="1">
      <alignment vertical="top"/>
    </xf>
    <xf numFmtId="3" fontId="18" fillId="13" borderId="4" xfId="0" applyNumberFormat="1" applyFont="1" applyFill="1" applyBorder="1" applyAlignment="1">
      <alignment vertical="top"/>
    </xf>
    <xf numFmtId="0" fontId="18" fillId="13" borderId="5" xfId="0" applyFont="1" applyFill="1" applyBorder="1" applyAlignment="1">
      <alignment vertical="top"/>
    </xf>
    <xf numFmtId="0" fontId="18" fillId="13" borderId="6" xfId="0" applyFont="1" applyFill="1" applyBorder="1" applyAlignment="1">
      <alignment vertical="top"/>
    </xf>
    <xf numFmtId="0" fontId="18" fillId="13" borderId="52" xfId="0" applyFont="1" applyFill="1" applyBorder="1" applyAlignment="1">
      <alignment vertical="top"/>
    </xf>
    <xf numFmtId="3" fontId="18" fillId="13" borderId="18" xfId="0" applyNumberFormat="1" applyFont="1" applyFill="1" applyBorder="1" applyAlignment="1">
      <alignment vertical="top"/>
    </xf>
    <xf numFmtId="3" fontId="18" fillId="13" borderId="16" xfId="0" applyNumberFormat="1" applyFont="1" applyFill="1" applyBorder="1" applyAlignment="1">
      <alignment vertical="top"/>
    </xf>
    <xf numFmtId="3" fontId="18" fillId="13" borderId="15" xfId="0" applyNumberFormat="1" applyFont="1" applyFill="1" applyBorder="1" applyAlignment="1">
      <alignment vertical="top"/>
    </xf>
    <xf numFmtId="3" fontId="18" fillId="13" borderId="72" xfId="0" applyNumberFormat="1" applyFont="1" applyFill="1" applyBorder="1" applyAlignment="1">
      <alignment vertical="top"/>
    </xf>
    <xf numFmtId="0" fontId="18" fillId="13" borderId="0" xfId="0" applyFont="1" applyFill="1" applyAlignment="1">
      <alignment vertical="top"/>
    </xf>
    <xf numFmtId="3" fontId="18" fillId="13" borderId="5" xfId="0" applyNumberFormat="1" applyFont="1" applyFill="1" applyBorder="1" applyAlignment="1">
      <alignment vertical="top"/>
    </xf>
    <xf numFmtId="3" fontId="18" fillId="13" borderId="6" xfId="0" applyNumberFormat="1" applyFont="1" applyFill="1" applyBorder="1" applyAlignment="1">
      <alignment vertical="top"/>
    </xf>
    <xf numFmtId="3" fontId="18" fillId="13" borderId="52" xfId="0" applyNumberFormat="1" applyFont="1" applyFill="1" applyBorder="1" applyAlignment="1">
      <alignment vertical="top"/>
    </xf>
    <xf numFmtId="3" fontId="18" fillId="13" borderId="0" xfId="0" applyNumberFormat="1" applyFont="1" applyFill="1" applyAlignment="1">
      <alignment vertical="top"/>
    </xf>
    <xf numFmtId="0" fontId="1" fillId="3" borderId="0" xfId="0" applyFont="1" applyFill="1" applyAlignment="1">
      <alignment horizontal="left" vertical="top" wrapText="1"/>
    </xf>
    <xf numFmtId="0" fontId="59" fillId="15" borderId="8" xfId="0" applyFont="1" applyFill="1" applyBorder="1" applyAlignment="1">
      <alignment horizontal="left" vertical="top" wrapText="1"/>
    </xf>
    <xf numFmtId="0" fontId="60" fillId="15" borderId="8" xfId="0" applyFont="1" applyFill="1" applyBorder="1" applyAlignment="1">
      <alignment horizontal="left" vertical="top" wrapText="1"/>
    </xf>
    <xf numFmtId="0" fontId="18" fillId="16" borderId="1" xfId="0" applyFont="1" applyFill="1" applyBorder="1" applyAlignment="1" applyProtection="1">
      <alignment horizontal="left" vertical="top" wrapText="1"/>
      <protection locked="0"/>
    </xf>
    <xf numFmtId="0" fontId="15" fillId="16" borderId="3" xfId="0" applyFont="1" applyFill="1" applyBorder="1" applyAlignment="1" applyProtection="1">
      <alignment horizontal="left" vertical="top" wrapText="1"/>
      <protection locked="0"/>
    </xf>
    <xf numFmtId="0" fontId="18" fillId="11" borderId="31" xfId="0" applyFont="1" applyFill="1" applyBorder="1" applyAlignment="1" applyProtection="1">
      <alignment horizontal="left" vertical="top"/>
      <protection locked="0"/>
    </xf>
    <xf numFmtId="0" fontId="15" fillId="11" borderId="1" xfId="0" applyFont="1" applyFill="1" applyBorder="1" applyAlignment="1" applyProtection="1">
      <alignment horizontal="left" vertical="top"/>
      <protection locked="0"/>
    </xf>
    <xf numFmtId="0" fontId="18" fillId="11" borderId="1" xfId="0" applyFont="1" applyFill="1" applyBorder="1" applyAlignment="1" applyProtection="1">
      <alignment horizontal="left" vertical="top"/>
      <protection locked="0"/>
    </xf>
    <xf numFmtId="0" fontId="18" fillId="16" borderId="1" xfId="0" applyFont="1" applyFill="1" applyBorder="1" applyAlignment="1" applyProtection="1">
      <alignment horizontal="left" vertical="top"/>
      <protection locked="0"/>
    </xf>
    <xf numFmtId="0" fontId="18" fillId="11" borderId="40" xfId="0" applyFont="1" applyFill="1" applyBorder="1" applyAlignment="1" applyProtection="1">
      <alignment vertical="top"/>
      <protection locked="0"/>
    </xf>
    <xf numFmtId="0" fontId="18" fillId="11" borderId="3" xfId="0" applyFont="1" applyFill="1" applyBorder="1" applyAlignment="1" applyProtection="1">
      <alignment horizontal="left" vertical="top"/>
      <protection locked="0"/>
    </xf>
    <xf numFmtId="0" fontId="18" fillId="11" borderId="1" xfId="1" applyFont="1" applyFill="1" applyBorder="1" applyAlignment="1" applyProtection="1">
      <alignment horizontal="left" vertical="top"/>
      <protection locked="0"/>
    </xf>
    <xf numFmtId="0" fontId="15" fillId="13" borderId="1" xfId="0" applyFont="1" applyFill="1" applyBorder="1" applyAlignment="1" applyProtection="1">
      <alignment horizontal="left" vertical="top"/>
      <protection locked="0"/>
    </xf>
    <xf numFmtId="0" fontId="18" fillId="13" borderId="1" xfId="0" applyFont="1" applyFill="1" applyBorder="1" applyAlignment="1" applyProtection="1">
      <alignment horizontal="left" vertical="top"/>
      <protection locked="0"/>
    </xf>
    <xf numFmtId="0" fontId="18" fillId="13" borderId="3" xfId="0" applyFont="1" applyFill="1" applyBorder="1" applyAlignment="1" applyProtection="1">
      <alignment horizontal="left" vertical="top"/>
      <protection locked="0"/>
    </xf>
    <xf numFmtId="0" fontId="15" fillId="13" borderId="3" xfId="0" applyFont="1" applyFill="1" applyBorder="1" applyAlignment="1" applyProtection="1">
      <alignment horizontal="left" vertical="top"/>
      <protection locked="0"/>
    </xf>
    <xf numFmtId="0" fontId="18" fillId="16" borderId="3" xfId="0" applyFont="1" applyFill="1" applyBorder="1" applyAlignment="1" applyProtection="1">
      <alignment horizontal="left" vertical="top"/>
      <protection locked="0"/>
    </xf>
    <xf numFmtId="0" fontId="15" fillId="16" borderId="3" xfId="0" applyFont="1" applyFill="1" applyBorder="1" applyAlignment="1" applyProtection="1">
      <alignment horizontal="left" vertical="top"/>
      <protection locked="0"/>
    </xf>
    <xf numFmtId="0" fontId="18" fillId="13" borderId="3" xfId="0" applyFont="1" applyFill="1" applyBorder="1" applyAlignment="1" applyProtection="1">
      <alignment vertical="top"/>
      <protection locked="0"/>
    </xf>
    <xf numFmtId="0" fontId="15" fillId="11" borderId="3" xfId="0" applyFont="1" applyFill="1" applyBorder="1" applyAlignment="1" applyProtection="1">
      <alignment horizontal="left" vertical="top"/>
      <protection locked="0"/>
    </xf>
    <xf numFmtId="3" fontId="61" fillId="11" borderId="2" xfId="0" applyNumberFormat="1" applyFont="1" applyFill="1" applyBorder="1" applyAlignment="1" applyProtection="1">
      <alignment vertical="top"/>
      <protection locked="0"/>
    </xf>
    <xf numFmtId="3" fontId="19" fillId="17" borderId="2" xfId="0" applyNumberFormat="1" applyFont="1" applyFill="1" applyBorder="1" applyAlignment="1" applyProtection="1">
      <alignment vertical="top"/>
      <protection locked="0"/>
    </xf>
    <xf numFmtId="3" fontId="19" fillId="17" borderId="11" xfId="0" applyNumberFormat="1" applyFont="1" applyFill="1" applyBorder="1" applyAlignment="1" applyProtection="1">
      <alignment vertical="top"/>
      <protection locked="0"/>
    </xf>
    <xf numFmtId="3" fontId="19" fillId="17" borderId="3" xfId="0" applyNumberFormat="1" applyFont="1" applyFill="1" applyBorder="1" applyAlignment="1" applyProtection="1">
      <alignment horizontal="right" vertical="top"/>
      <protection locked="0"/>
    </xf>
    <xf numFmtId="3" fontId="61" fillId="11" borderId="11" xfId="0" applyNumberFormat="1" applyFont="1" applyFill="1" applyBorder="1" applyAlignment="1" applyProtection="1">
      <alignment vertical="top"/>
      <protection locked="0"/>
    </xf>
    <xf numFmtId="3" fontId="19" fillId="18" borderId="20" xfId="0" applyNumberFormat="1" applyFont="1" applyFill="1" applyBorder="1" applyAlignment="1" applyProtection="1">
      <alignment vertical="top"/>
      <protection locked="0"/>
    </xf>
    <xf numFmtId="3" fontId="19" fillId="18" borderId="11" xfId="0" applyNumberFormat="1" applyFont="1" applyFill="1" applyBorder="1" applyAlignment="1" applyProtection="1">
      <alignment vertical="top"/>
      <protection locked="0"/>
    </xf>
    <xf numFmtId="3" fontId="19" fillId="18" borderId="13" xfId="0" applyNumberFormat="1" applyFont="1" applyFill="1" applyBorder="1" applyAlignment="1" applyProtection="1">
      <alignment horizontal="right" vertical="top"/>
      <protection locked="0"/>
    </xf>
    <xf numFmtId="3" fontId="19" fillId="18" borderId="3" xfId="0" applyNumberFormat="1" applyFont="1" applyFill="1" applyBorder="1" applyAlignment="1" applyProtection="1">
      <alignment horizontal="right" vertical="top"/>
      <protection locked="0"/>
    </xf>
    <xf numFmtId="3" fontId="19" fillId="18" borderId="14" xfId="0" applyNumberFormat="1" applyFont="1" applyFill="1" applyBorder="1" applyAlignment="1" applyProtection="1">
      <alignment vertical="top"/>
      <protection locked="0"/>
    </xf>
    <xf numFmtId="3" fontId="19" fillId="18" borderId="12" xfId="0" applyNumberFormat="1" applyFont="1" applyFill="1" applyBorder="1" applyAlignment="1" applyProtection="1">
      <alignment horizontal="right" vertical="top"/>
      <protection locked="0"/>
    </xf>
    <xf numFmtId="0" fontId="18" fillId="11" borderId="46" xfId="0" applyFont="1" applyFill="1" applyBorder="1" applyAlignment="1" applyProtection="1">
      <alignment horizontal="left" vertical="top"/>
      <protection locked="0"/>
    </xf>
    <xf numFmtId="0" fontId="18" fillId="11" borderId="21" xfId="0" applyFont="1" applyFill="1" applyBorder="1" applyAlignment="1" applyProtection="1">
      <alignment horizontal="left" vertical="top"/>
      <protection locked="0"/>
    </xf>
    <xf numFmtId="0" fontId="15" fillId="11" borderId="21" xfId="0" applyFont="1" applyFill="1" applyBorder="1" applyAlignment="1" applyProtection="1">
      <alignment horizontal="left" vertical="top"/>
      <protection locked="0"/>
    </xf>
    <xf numFmtId="0" fontId="15" fillId="16" borderId="21" xfId="0" applyFont="1" applyFill="1" applyBorder="1" applyAlignment="1" applyProtection="1">
      <alignment horizontal="left" vertical="top"/>
      <protection locked="0"/>
    </xf>
    <xf numFmtId="0" fontId="18" fillId="11" borderId="47" xfId="0" applyFont="1" applyFill="1" applyBorder="1" applyAlignment="1" applyProtection="1">
      <alignment vertical="top"/>
      <protection locked="0"/>
    </xf>
    <xf numFmtId="0" fontId="18" fillId="11" borderId="43" xfId="0" applyFont="1" applyFill="1" applyBorder="1" applyAlignment="1" applyProtection="1">
      <alignment vertical="top"/>
      <protection locked="0"/>
    </xf>
    <xf numFmtId="0" fontId="29" fillId="7" borderId="80" xfId="0" applyFont="1" applyFill="1" applyBorder="1" applyAlignment="1">
      <alignment vertical="top"/>
    </xf>
    <xf numFmtId="3" fontId="29" fillId="7" borderId="0" xfId="0" applyNumberFormat="1" applyFont="1" applyFill="1" applyAlignment="1">
      <alignment vertical="top"/>
    </xf>
    <xf numFmtId="0" fontId="29" fillId="7" borderId="0" xfId="0" applyFont="1" applyFill="1" applyAlignment="1">
      <alignment vertical="top"/>
    </xf>
    <xf numFmtId="0" fontId="26" fillId="7" borderId="20" xfId="0" applyFont="1" applyFill="1" applyBorder="1" applyAlignment="1">
      <alignment vertical="top"/>
    </xf>
    <xf numFmtId="0" fontId="26" fillId="7" borderId="19" xfId="0" applyFont="1" applyFill="1" applyBorder="1" applyAlignment="1">
      <alignment vertical="top"/>
    </xf>
    <xf numFmtId="0" fontId="26" fillId="7" borderId="0" xfId="0" applyFont="1" applyFill="1" applyAlignment="1">
      <alignment vertical="top"/>
    </xf>
    <xf numFmtId="3" fontId="27" fillId="7" borderId="0" xfId="0" applyNumberFormat="1" applyFont="1" applyFill="1" applyAlignment="1">
      <alignment vertical="top"/>
    </xf>
    <xf numFmtId="0" fontId="27" fillId="7" borderId="0" xfId="0" applyFont="1" applyFill="1" applyAlignment="1">
      <alignment vertical="top"/>
    </xf>
    <xf numFmtId="3" fontId="26" fillId="7" borderId="0" xfId="0" applyNumberFormat="1" applyFont="1" applyFill="1" applyAlignment="1">
      <alignment vertical="top"/>
    </xf>
    <xf numFmtId="0" fontId="43" fillId="3" borderId="0" xfId="0" applyFont="1" applyFill="1" applyAlignment="1">
      <alignment vertical="top"/>
    </xf>
    <xf numFmtId="0" fontId="26" fillId="7" borderId="55" xfId="0" applyFont="1" applyFill="1" applyBorder="1" applyAlignment="1">
      <alignment vertical="top"/>
    </xf>
    <xf numFmtId="3" fontId="31" fillId="7" borderId="71" xfId="0" applyNumberFormat="1" applyFont="1" applyFill="1" applyBorder="1" applyAlignment="1">
      <alignment vertical="top"/>
    </xf>
    <xf numFmtId="0" fontId="31" fillId="7" borderId="56" xfId="0" applyFont="1" applyFill="1" applyBorder="1" applyAlignment="1">
      <alignment vertical="top"/>
    </xf>
    <xf numFmtId="3" fontId="31" fillId="7" borderId="67" xfId="0" applyNumberFormat="1" applyFont="1" applyFill="1" applyBorder="1" applyAlignment="1">
      <alignment vertical="top"/>
    </xf>
    <xf numFmtId="0" fontId="31" fillId="7" borderId="57" xfId="0" applyFont="1" applyFill="1" applyBorder="1" applyAlignment="1">
      <alignment vertical="top"/>
    </xf>
    <xf numFmtId="0" fontId="31" fillId="7" borderId="80" xfId="0" applyFont="1" applyFill="1" applyBorder="1" applyAlignment="1">
      <alignment vertical="top"/>
    </xf>
    <xf numFmtId="3" fontId="31" fillId="7" borderId="2" xfId="0" applyNumberFormat="1" applyFont="1" applyFill="1" applyBorder="1" applyAlignment="1">
      <alignment vertical="top"/>
    </xf>
    <xf numFmtId="0" fontId="31" fillId="7" borderId="74" xfId="0" applyFont="1" applyFill="1" applyBorder="1" applyAlignment="1">
      <alignment vertical="top"/>
    </xf>
    <xf numFmtId="0" fontId="0" fillId="3" borderId="46" xfId="0" applyFill="1" applyBorder="1" applyAlignment="1">
      <alignment vertical="top"/>
    </xf>
    <xf numFmtId="0" fontId="0" fillId="3" borderId="91" xfId="0" applyFill="1" applyBorder="1" applyAlignment="1">
      <alignment vertical="top"/>
    </xf>
    <xf numFmtId="0" fontId="0" fillId="3" borderId="76" xfId="0" applyFill="1" applyBorder="1" applyAlignment="1">
      <alignment vertical="top"/>
    </xf>
    <xf numFmtId="0" fontId="31" fillId="7" borderId="38" xfId="0" applyFont="1" applyFill="1" applyBorder="1" applyAlignment="1">
      <alignment vertical="top"/>
    </xf>
    <xf numFmtId="0" fontId="0" fillId="0" borderId="0" xfId="0" applyAlignment="1">
      <alignment vertical="top"/>
    </xf>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164" fontId="6" fillId="4" borderId="43" xfId="0" applyNumberFormat="1" applyFont="1" applyFill="1" applyBorder="1" applyAlignment="1">
      <alignment horizontal="center" vertical="top" wrapText="1"/>
    </xf>
    <xf numFmtId="0" fontId="0" fillId="0" borderId="0" xfId="0" applyAlignment="1">
      <alignment horizontal="center" vertical="top" wrapText="1"/>
    </xf>
    <xf numFmtId="0" fontId="0" fillId="0" borderId="54" xfId="0" applyBorder="1" applyAlignment="1">
      <alignment horizontal="center" vertical="top" wrapText="1"/>
    </xf>
    <xf numFmtId="0" fontId="3" fillId="0" borderId="70" xfId="0" applyFont="1" applyBorder="1" applyAlignment="1">
      <alignment horizontal="left" vertical="top" wrapText="1"/>
    </xf>
    <xf numFmtId="0" fontId="3" fillId="0" borderId="27" xfId="0" applyFont="1" applyBorder="1" applyAlignment="1">
      <alignment horizontal="left" vertical="top" wrapText="1"/>
    </xf>
    <xf numFmtId="0" fontId="0" fillId="0" borderId="27" xfId="0" applyBorder="1" applyAlignment="1">
      <alignment vertical="top"/>
    </xf>
    <xf numFmtId="0" fontId="0" fillId="0" borderId="29" xfId="0" applyBorder="1" applyAlignment="1">
      <alignment vertical="top"/>
    </xf>
    <xf numFmtId="0" fontId="3" fillId="0" borderId="71" xfId="0" applyFont="1" applyBorder="1" applyAlignment="1">
      <alignment horizontal="left" vertical="top" wrapText="1"/>
    </xf>
    <xf numFmtId="0" fontId="3" fillId="0" borderId="56" xfId="0" applyFont="1" applyBorder="1" applyAlignment="1">
      <alignment horizontal="left" vertical="top" wrapText="1"/>
    </xf>
    <xf numFmtId="0" fontId="0" fillId="0" borderId="56" xfId="0" applyBorder="1" applyAlignment="1">
      <alignment vertical="top"/>
    </xf>
    <xf numFmtId="0" fontId="0" fillId="0" borderId="57" xfId="0" applyBorder="1" applyAlignment="1">
      <alignment vertical="top"/>
    </xf>
    <xf numFmtId="1" fontId="58" fillId="4" borderId="90" xfId="0" applyNumberFormat="1" applyFont="1" applyFill="1" applyBorder="1" applyAlignment="1">
      <alignment horizontal="center" vertical="top" wrapText="1"/>
    </xf>
    <xf numFmtId="0" fontId="58" fillId="0" borderId="91" xfId="0" applyFont="1" applyBorder="1" applyAlignment="1">
      <alignment horizontal="center" vertical="top" wrapText="1"/>
    </xf>
    <xf numFmtId="0" fontId="58" fillId="0" borderId="89" xfId="0" applyFont="1" applyBorder="1" applyAlignment="1">
      <alignment horizontal="center" vertical="top" wrapText="1"/>
    </xf>
    <xf numFmtId="1" fontId="1" fillId="4" borderId="24"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1" fontId="58" fillId="4" borderId="23" xfId="0" applyNumberFormat="1" applyFont="1" applyFill="1" applyBorder="1" applyAlignment="1">
      <alignment horizontal="center" vertical="top" wrapText="1"/>
    </xf>
    <xf numFmtId="0" fontId="58" fillId="0" borderId="24" xfId="0" applyFont="1" applyBorder="1" applyAlignment="1">
      <alignment horizontal="center" vertical="top" wrapText="1"/>
    </xf>
    <xf numFmtId="0" fontId="58" fillId="0" borderId="25" xfId="0" applyFont="1" applyBorder="1" applyAlignment="1">
      <alignment horizontal="center" vertical="top" wrapText="1"/>
    </xf>
    <xf numFmtId="0" fontId="0" fillId="4" borderId="28" xfId="0" applyFill="1" applyBorder="1" applyAlignment="1">
      <alignment vertical="top"/>
    </xf>
    <xf numFmtId="0" fontId="0" fillId="4" borderId="27" xfId="0" applyFill="1" applyBorder="1" applyAlignment="1">
      <alignment vertical="top"/>
    </xf>
    <xf numFmtId="0" fontId="2" fillId="2" borderId="68" xfId="0" applyFont="1" applyFill="1" applyBorder="1" applyAlignment="1">
      <alignment vertical="top" wrapText="1"/>
    </xf>
    <xf numFmtId="0" fontId="2" fillId="2" borderId="69"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8" xfId="0" applyFill="1" applyBorder="1" applyAlignment="1">
      <alignment vertical="top" wrapText="1"/>
    </xf>
    <xf numFmtId="0" fontId="0" fillId="8" borderId="3" xfId="0" applyFill="1" applyBorder="1" applyAlignment="1">
      <alignment horizontal="lef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164" fontId="6" fillId="4" borderId="23" xfId="0" applyNumberFormat="1"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0" borderId="59" xfId="0" applyFont="1" applyBorder="1" applyAlignment="1">
      <alignment horizontal="left" vertical="top" wrapText="1"/>
    </xf>
    <xf numFmtId="0" fontId="3" fillId="0" borderId="77" xfId="0" applyFont="1" applyBorder="1" applyAlignment="1">
      <alignment horizontal="left" vertical="top" wrapText="1"/>
    </xf>
    <xf numFmtId="1" fontId="1" fillId="4" borderId="23" xfId="0" applyNumberFormat="1" applyFont="1" applyFill="1" applyBorder="1" applyAlignment="1">
      <alignment horizontal="center" vertical="top" wrapText="1"/>
    </xf>
    <xf numFmtId="0" fontId="2" fillId="2" borderId="94" xfId="0" applyFont="1" applyFill="1" applyBorder="1" applyAlignment="1">
      <alignment vertical="top" wrapText="1"/>
    </xf>
    <xf numFmtId="0" fontId="2" fillId="2" borderId="95" xfId="0" applyFont="1" applyFill="1" applyBorder="1" applyAlignment="1">
      <alignment vertical="top" wrapText="1"/>
    </xf>
    <xf numFmtId="0" fontId="3" fillId="0" borderId="28" xfId="0" applyFont="1" applyBorder="1" applyAlignment="1">
      <alignment horizontal="left" vertical="top" wrapText="1"/>
    </xf>
    <xf numFmtId="0" fontId="3" fillId="0" borderId="89" xfId="0" applyFont="1" applyBorder="1" applyAlignment="1">
      <alignment horizontal="left" vertical="top" wrapText="1"/>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0" fillId="0" borderId="0" xfId="0" applyAlignment="1">
      <alignment horizontal="left" vertical="top"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0" fillId="3" borderId="21" xfId="0" applyFill="1" applyBorder="1" applyAlignment="1">
      <alignment horizontal="left" vertical="top" wrapText="1"/>
    </xf>
    <xf numFmtId="0" fontId="0" fillId="3" borderId="4" xfId="0" applyFill="1" applyBorder="1" applyAlignment="1">
      <alignment horizontal="left" vertical="top" wrapText="1"/>
    </xf>
    <xf numFmtId="0" fontId="0" fillId="3" borderId="13" xfId="0" applyFill="1" applyBorder="1" applyAlignment="1">
      <alignment horizontal="left" vertical="top" wrapText="1"/>
    </xf>
    <xf numFmtId="0" fontId="0" fillId="3" borderId="92" xfId="0" applyFill="1" applyBorder="1" applyAlignment="1">
      <alignment horizontal="left" vertical="top" wrapText="1"/>
    </xf>
    <xf numFmtId="0" fontId="0" fillId="3" borderId="18" xfId="0" applyFill="1" applyBorder="1" applyAlignment="1">
      <alignment horizontal="left" vertical="top" wrapText="1"/>
    </xf>
    <xf numFmtId="0" fontId="29" fillId="6" borderId="83" xfId="0" applyFont="1" applyFill="1" applyBorder="1" applyAlignment="1">
      <alignment horizontal="center" vertical="top" wrapText="1"/>
    </xf>
    <xf numFmtId="0" fontId="29" fillId="6" borderId="86" xfId="0" applyFont="1" applyFill="1" applyBorder="1" applyAlignment="1">
      <alignment horizontal="center" vertical="top" wrapText="1"/>
    </xf>
    <xf numFmtId="0" fontId="29" fillId="6" borderId="84" xfId="0" applyFont="1" applyFill="1" applyBorder="1" applyAlignment="1">
      <alignment horizontal="center" vertical="top"/>
    </xf>
    <xf numFmtId="0" fontId="29" fillId="6" borderId="60" xfId="0" applyFont="1" applyFill="1" applyBorder="1" applyAlignment="1">
      <alignment horizontal="center" vertical="top"/>
    </xf>
    <xf numFmtId="0" fontId="30" fillId="6" borderId="62" xfId="0" applyFont="1" applyFill="1" applyBorder="1" applyAlignment="1">
      <alignment horizontal="center" vertical="top" wrapText="1"/>
    </xf>
    <xf numFmtId="0" fontId="30" fillId="6" borderId="63" xfId="0" applyFont="1" applyFill="1" applyBorder="1" applyAlignment="1">
      <alignment horizontal="center" vertical="top" wrapText="1"/>
    </xf>
    <xf numFmtId="0" fontId="27" fillId="6" borderId="85" xfId="0" applyFont="1" applyFill="1" applyBorder="1" applyAlignment="1">
      <alignment horizontal="center" vertical="top" wrapText="1"/>
    </xf>
    <xf numFmtId="0" fontId="27" fillId="6" borderId="66" xfId="0" applyFont="1" applyFill="1" applyBorder="1" applyAlignment="1">
      <alignment horizontal="center" vertical="top" wrapText="1"/>
    </xf>
    <xf numFmtId="0" fontId="27" fillId="6" borderId="29" xfId="0" applyFont="1" applyFill="1" applyBorder="1" applyAlignment="1">
      <alignment horizontal="center" vertical="top" wrapText="1"/>
    </xf>
    <xf numFmtId="0" fontId="30" fillId="6" borderId="54" xfId="0" applyFont="1" applyFill="1" applyBorder="1" applyAlignment="1">
      <alignment horizontal="center" vertical="top" wrapText="1"/>
    </xf>
    <xf numFmtId="0" fontId="27" fillId="6" borderId="27" xfId="0" applyFont="1" applyFill="1" applyBorder="1" applyAlignment="1">
      <alignment horizontal="center" vertical="top" wrapText="1"/>
    </xf>
    <xf numFmtId="0" fontId="0" fillId="0" borderId="27" xfId="0" applyBorder="1" applyAlignment="1">
      <alignment horizontal="center" vertical="top" wrapText="1"/>
    </xf>
    <xf numFmtId="0" fontId="0" fillId="0" borderId="66" xfId="0" applyBorder="1" applyAlignment="1">
      <alignment horizontal="center" vertical="top" wrapText="1"/>
    </xf>
    <xf numFmtId="0" fontId="0" fillId="0" borderId="63" xfId="0" applyBorder="1" applyAlignment="1">
      <alignment horizontal="center" vertical="top" wrapText="1"/>
    </xf>
    <xf numFmtId="0" fontId="2" fillId="11" borderId="11" xfId="0" applyFont="1" applyFill="1" applyBorder="1" applyAlignment="1" applyProtection="1">
      <alignment vertical="top" wrapText="1"/>
      <protection locked="0"/>
    </xf>
    <xf numFmtId="0" fontId="2" fillId="0" borderId="20" xfId="0" applyFont="1" applyBorder="1" applyAlignment="1">
      <alignment vertical="top" wrapText="1"/>
    </xf>
    <xf numFmtId="0" fontId="2" fillId="0" borderId="19" xfId="0" applyFont="1" applyBorder="1"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46" fillId="0" borderId="0" xfId="0" applyFont="1" applyAlignment="1">
      <alignment horizontal="left" vertical="top" wrapText="1"/>
    </xf>
    <xf numFmtId="0" fontId="0" fillId="2" borderId="6" xfId="0" applyFill="1" applyBorder="1" applyAlignment="1">
      <alignment vertical="top" wrapText="1"/>
    </xf>
    <xf numFmtId="0" fontId="0" fillId="2" borderId="94" xfId="0" applyFill="1" applyBorder="1" applyAlignment="1">
      <alignment vertical="top" wrapText="1"/>
    </xf>
    <xf numFmtId="0" fontId="0" fillId="2" borderId="95" xfId="0" applyFill="1" applyBorder="1" applyAlignment="1">
      <alignment vertical="top" wrapText="1"/>
    </xf>
    <xf numFmtId="0" fontId="40" fillId="9" borderId="3" xfId="0" applyFont="1" applyFill="1" applyBorder="1" applyAlignment="1">
      <alignment horizontal="center" vertical="top" wrapText="1"/>
    </xf>
    <xf numFmtId="0" fontId="0" fillId="0" borderId="3" xfId="0" applyBorder="1" applyAlignment="1">
      <alignment horizontal="center" vertical="top" wrapText="1"/>
    </xf>
    <xf numFmtId="0" fontId="40" fillId="9" borderId="3" xfId="0" applyFont="1" applyFill="1" applyBorder="1" applyAlignment="1">
      <alignment horizontal="left" vertical="top" wrapText="1"/>
    </xf>
    <xf numFmtId="3" fontId="41" fillId="0" borderId="0" xfId="0" applyNumberFormat="1" applyFont="1" applyAlignment="1">
      <alignment horizontal="left" vertical="top" wrapText="1"/>
    </xf>
    <xf numFmtId="0" fontId="0" fillId="0" borderId="0" xfId="0" applyAlignment="1">
      <alignment vertical="top"/>
    </xf>
    <xf numFmtId="0" fontId="6" fillId="4" borderId="21" xfId="0" applyFont="1" applyFill="1" applyBorder="1" applyAlignment="1">
      <alignment horizontal="center" vertical="top" wrapText="1"/>
    </xf>
    <xf numFmtId="0" fontId="6" fillId="4" borderId="46" xfId="0" applyFont="1" applyFill="1" applyBorder="1" applyAlignment="1">
      <alignment horizontal="center" vertical="top" wrapText="1"/>
    </xf>
    <xf numFmtId="0" fontId="30" fillId="14" borderId="21" xfId="0" applyFont="1" applyFill="1" applyBorder="1" applyAlignment="1">
      <alignment horizontal="center" vertical="top" wrapText="1"/>
    </xf>
    <xf numFmtId="0" fontId="30" fillId="14" borderId="1" xfId="0" applyFont="1" applyFill="1" applyBorder="1" applyAlignment="1">
      <alignment horizontal="center" vertical="top" wrapText="1"/>
    </xf>
    <xf numFmtId="0" fontId="49" fillId="4" borderId="21" xfId="0" applyFont="1" applyFill="1" applyBorder="1" applyAlignment="1">
      <alignment horizontal="center" vertical="top" wrapText="1"/>
    </xf>
    <xf numFmtId="0" fontId="49" fillId="4" borderId="1" xfId="0" applyFont="1" applyFill="1" applyBorder="1" applyAlignment="1">
      <alignment horizontal="center" vertical="top" wrapText="1"/>
    </xf>
    <xf numFmtId="0" fontId="49" fillId="4" borderId="46" xfId="0" applyFont="1" applyFill="1" applyBorder="1" applyAlignment="1">
      <alignment horizontal="center" vertical="top" wrapText="1"/>
    </xf>
    <xf numFmtId="0" fontId="46"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6" fillId="4" borderId="1" xfId="0" applyFont="1" applyFill="1" applyBorder="1" applyAlignment="1">
      <alignment horizontal="center" vertical="top" wrapText="1"/>
    </xf>
    <xf numFmtId="0" fontId="49" fillId="4" borderId="11" xfId="0" applyFont="1" applyFill="1" applyBorder="1" applyAlignment="1">
      <alignment horizontal="center" vertical="top" wrapText="1"/>
    </xf>
    <xf numFmtId="0" fontId="62" fillId="0" borderId="0" xfId="0" applyFont="1"/>
  </cellXfs>
  <cellStyles count="2">
    <cellStyle name="Hea" xfId="1" builtinId="26"/>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arvutused'!$C$7:$C$9</c:f>
              <c:numCache>
                <c:formatCode>#,##0</c:formatCode>
                <c:ptCount val="3"/>
                <c:pt idx="0">
                  <c:v>29518955</c:v>
                </c:pt>
                <c:pt idx="1">
                  <c:v>11585489</c:v>
                </c:pt>
                <c:pt idx="2">
                  <c:v>7265564</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arvutused'!$D$7:$D$9</c:f>
              <c:numCache>
                <c:formatCode>#,##0</c:formatCode>
                <c:ptCount val="3"/>
                <c:pt idx="0">
                  <c:v>23814308</c:v>
                </c:pt>
                <c:pt idx="1">
                  <c:v>6779339</c:v>
                </c:pt>
                <c:pt idx="2">
                  <c:v>6017078</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arvutused'!$C$21:$C$24</c:f>
              <c:numCache>
                <c:formatCode>#,##0</c:formatCode>
                <c:ptCount val="4"/>
                <c:pt idx="0">
                  <c:v>21811783</c:v>
                </c:pt>
                <c:pt idx="1">
                  <c:v>14122519</c:v>
                </c:pt>
                <c:pt idx="2">
                  <c:v>12435706</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arvutused'!$D$21:$D$24</c:f>
              <c:numCache>
                <c:formatCode>#,##0</c:formatCode>
                <c:ptCount val="4"/>
                <c:pt idx="0">
                  <c:v>14138453</c:v>
                </c:pt>
                <c:pt idx="1">
                  <c:v>12216619</c:v>
                </c:pt>
                <c:pt idx="2">
                  <c:v>10255653</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1"/>
                <c:pt idx="0">
                  <c:v>Seisuga 01.01.2024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BCC-4562-8BFD-4178425FB4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C-4D65-9DCC-8A5B816E80E2}"/>
              </c:ext>
            </c:extLst>
          </c:dPt>
          <c:dLbls>
            <c:dLbl>
              <c:idx val="5"/>
              <c:layout>
                <c:manualLayout>
                  <c:x val="7.4844506879518546E-2"/>
                  <c:y val="-5.5307028296243811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BCC-4562-8BFD-4178425FB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Andmeait</c:v>
                </c:pt>
                <c:pt idx="1">
                  <c:v>Andmeanalüüs ja -seire</c:v>
                </c:pt>
                <c:pt idx="2">
                  <c:v>IT - andmeturve</c:v>
                </c:pt>
                <c:pt idx="3">
                  <c:v>IT-arvutigraafika</c:v>
                </c:pt>
                <c:pt idx="4">
                  <c:v>IT - juhtimine</c:v>
                </c:pt>
                <c:pt idx="5">
                  <c:v>IT - konsultandid</c:v>
                </c:pt>
                <c:pt idx="6">
                  <c:v>IT - projektijuhtimine</c:v>
                </c:pt>
                <c:pt idx="7">
                  <c:v>IT - süsteemiadministratsioon</c:v>
                </c:pt>
                <c:pt idx="8">
                  <c:v>IT - süsteemianalüüs</c:v>
                </c:pt>
                <c:pt idx="9">
                  <c:v>IT - süsteemiarhitektuur</c:v>
                </c:pt>
                <c:pt idx="10">
                  <c:v>IT - tarkvara programmeerimine</c:v>
                </c:pt>
              </c:strCache>
            </c:strRef>
          </c:cat>
          <c:val>
            <c:numRef>
              <c:f>'Ettekande arvutused'!$F$72:$F$82</c:f>
              <c:numCache>
                <c:formatCode>#,##0</c:formatCode>
                <c:ptCount val="11"/>
                <c:pt idx="0">
                  <c:v>4</c:v>
                </c:pt>
                <c:pt idx="1">
                  <c:v>7</c:v>
                </c:pt>
                <c:pt idx="2">
                  <c:v>7</c:v>
                </c:pt>
                <c:pt idx="4">
                  <c:v>21</c:v>
                </c:pt>
                <c:pt idx="5">
                  <c:v>1</c:v>
                </c:pt>
                <c:pt idx="6">
                  <c:v>28</c:v>
                </c:pt>
                <c:pt idx="7">
                  <c:v>51</c:v>
                </c:pt>
                <c:pt idx="8">
                  <c:v>20</c:v>
                </c:pt>
                <c:pt idx="9">
                  <c:v>10</c:v>
                </c:pt>
                <c:pt idx="10">
                  <c:v>4</c:v>
                </c:pt>
              </c:numCache>
            </c:numRef>
          </c:val>
          <c:extLst>
            <c:ext xmlns:c16="http://schemas.microsoft.com/office/drawing/2014/chart" uri="{C3380CC4-5D6E-409C-BE32-E72D297353CC}">
              <c16:uniqueId val="{00000000-3BCC-4562-8BFD-4178425FB4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7-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60C-4D65-9DCC-8A5B816E80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60C-4D65-9DCC-8A5B816E8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Andmeait</c:v>
                </c:pt>
                <c:pt idx="1">
                  <c:v>Andmeanalüüs ja -seire</c:v>
                </c:pt>
                <c:pt idx="2">
                  <c:v>IT - andmeturve</c:v>
                </c:pt>
                <c:pt idx="3">
                  <c:v>IT-arvutigraafika</c:v>
                </c:pt>
                <c:pt idx="4">
                  <c:v>IT - juhtimine</c:v>
                </c:pt>
                <c:pt idx="5">
                  <c:v>IT - konsultandid</c:v>
                </c:pt>
                <c:pt idx="6">
                  <c:v>IT - projektijuhtimine</c:v>
                </c:pt>
                <c:pt idx="7">
                  <c:v>IT - süsteemiadministratsioon</c:v>
                </c:pt>
                <c:pt idx="8">
                  <c:v>IT - süsteemianalüüs</c:v>
                </c:pt>
                <c:pt idx="9">
                  <c:v>IT - süsteemiarhitektuur</c:v>
                </c:pt>
                <c:pt idx="10">
                  <c:v>IT - tarkvara programmeerimine</c:v>
                </c:pt>
              </c:strCache>
            </c:strRef>
          </c:cat>
          <c:val>
            <c:numRef>
              <c:f>'Ettekande arvutused'!$G$72:$G$82</c:f>
              <c:numCache>
                <c:formatCode>#,##0</c:formatCode>
                <c:ptCount val="11"/>
                <c:pt idx="0">
                  <c:v>1</c:v>
                </c:pt>
                <c:pt idx="1">
                  <c:v>1</c:v>
                </c:pt>
                <c:pt idx="2">
                  <c:v>1</c:v>
                </c:pt>
                <c:pt idx="4">
                  <c:v>1</c:v>
                </c:pt>
                <c:pt idx="6">
                  <c:v>4</c:v>
                </c:pt>
                <c:pt idx="7">
                  <c:v>3</c:v>
                </c:pt>
                <c:pt idx="9">
                  <c:v>3</c:v>
                </c:pt>
              </c:numCache>
            </c:numRef>
          </c:val>
          <c:extLst>
            <c:ext xmlns:c16="http://schemas.microsoft.com/office/drawing/2014/chart" uri="{C3380CC4-5D6E-409C-BE32-E72D297353CC}">
              <c16:uniqueId val="{00000001-3BCC-4562-8BFD-4178425FB4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28053767</c:v>
                </c:pt>
                <c:pt idx="1">
                  <c:v>9915235</c:v>
                </c:pt>
                <c:pt idx="2">
                  <c:v>10198692</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22103253</c:v>
                </c:pt>
                <c:pt idx="1">
                  <c:v>12925937</c:v>
                </c:pt>
                <c:pt idx="2">
                  <c:v>13138504</c:v>
                </c:pt>
                <c:pt idx="3">
                  <c:v>8</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arvutused'!$C$69:$E$69</c:f>
              <c:strCache>
                <c:ptCount val="3"/>
                <c:pt idx="0">
                  <c:v>Seisuga 01.01.2023</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E8A-4E92-8B8C-A6FB375009B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E8A-4E92-8B8C-A6FB375009B5}"/>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721-45B4-94C4-2322D6737F9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arvutused'!$C$70:$E$70</c:f>
              <c:strCache>
                <c:ptCount val="3"/>
                <c:pt idx="0">
                  <c:v>Täidetud/olemas</c:v>
                </c:pt>
                <c:pt idx="1">
                  <c:v>Täitmata</c:v>
                </c:pt>
                <c:pt idx="2">
                  <c:v>Kokku</c:v>
                </c:pt>
              </c:strCache>
            </c:strRef>
          </c:cat>
          <c:val>
            <c:numRef>
              <c:f>'Ettekande arvutused'!$C$71:$E$71</c:f>
              <c:numCache>
                <c:formatCode>#,##0</c:formatCode>
                <c:ptCount val="3"/>
                <c:pt idx="0">
                  <c:v>183</c:v>
                </c:pt>
                <c:pt idx="1">
                  <c:v>26</c:v>
                </c:pt>
                <c:pt idx="2">
                  <c:v>207</c:v>
                </c:pt>
              </c:numCache>
            </c:numRef>
          </c:val>
          <c:extLst>
            <c:ext xmlns:c16="http://schemas.microsoft.com/office/drawing/2014/chart" uri="{C3380CC4-5D6E-409C-BE32-E72D297353CC}">
              <c16:uniqueId val="{00000000-1AAB-4C5A-9881-1B077BF8320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3"/>
                <c:pt idx="0">
                  <c:v>Seisuga 01.01.2024</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B31-4DE8-BD80-630474D6A99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B31-4DE8-BD80-630474D6A99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E27-44FD-8A89-6F5DD8AA7B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arvutused'!$F$70:$H$70</c:f>
              <c:strCache>
                <c:ptCount val="3"/>
                <c:pt idx="0">
                  <c:v>Täidetud/olemas</c:v>
                </c:pt>
                <c:pt idx="1">
                  <c:v>Täitmata</c:v>
                </c:pt>
                <c:pt idx="2">
                  <c:v>Kokku</c:v>
                </c:pt>
              </c:strCache>
            </c:strRef>
          </c:cat>
          <c:val>
            <c:numRef>
              <c:f>'Ettekande arvutused'!$F$71:$H$71</c:f>
              <c:numCache>
                <c:formatCode>#,##0</c:formatCode>
                <c:ptCount val="3"/>
                <c:pt idx="0">
                  <c:v>204</c:v>
                </c:pt>
                <c:pt idx="1">
                  <c:v>17</c:v>
                </c:pt>
                <c:pt idx="2">
                  <c:v>221</c:v>
                </c:pt>
              </c:numCache>
            </c:numRef>
          </c:val>
          <c:extLst>
            <c:ext xmlns:c16="http://schemas.microsoft.com/office/drawing/2014/chart" uri="{C3380CC4-5D6E-409C-BE32-E72D297353CC}">
              <c16:uniqueId val="{00000000-B455-4409-8EF0-D02F2F3C37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Personali</a:t>
            </a:r>
            <a:r>
              <a:rPr lang="et-EE" baseline="0"/>
              <a:t> muutus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arvutused'!$C$53:$I$53</c:f>
              <c:numCache>
                <c:formatCode>#,##0</c:formatCode>
                <c:ptCount val="7"/>
                <c:pt idx="0">
                  <c:v>124</c:v>
                </c:pt>
                <c:pt idx="1">
                  <c:v>157</c:v>
                </c:pt>
                <c:pt idx="2">
                  <c:v>182</c:v>
                </c:pt>
                <c:pt idx="3">
                  <c:v>204</c:v>
                </c:pt>
                <c:pt idx="4">
                  <c:v>220</c:v>
                </c:pt>
                <c:pt idx="5">
                  <c:v>225</c:v>
                </c:pt>
                <c:pt idx="6">
                  <c:v>230</c:v>
                </c:pt>
              </c:numCache>
            </c:numRef>
          </c:val>
          <c:smooth val="0"/>
          <c:extLst>
            <c:ext xmlns:c16="http://schemas.microsoft.com/office/drawing/2014/chart" uri="{C3380CC4-5D6E-409C-BE32-E72D297353CC}">
              <c16:uniqueId val="{00000000-7C94-46C8-9181-4BB478076098}"/>
            </c:ext>
          </c:extLst>
        </c:ser>
        <c:dLbls>
          <c:showLegendKey val="0"/>
          <c:showVal val="0"/>
          <c:showCatName val="0"/>
          <c:showSerName val="0"/>
          <c:showPercent val="0"/>
          <c:showBubbleSize val="0"/>
        </c:dLbls>
        <c:marker val="1"/>
        <c:smooth val="0"/>
        <c:axId val="2014720464"/>
        <c:axId val="337308592"/>
      </c:line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arvutused'!$C$54:$I$54</c:f>
              <c:numCache>
                <c:formatCode>0.0</c:formatCode>
                <c:ptCount val="7"/>
                <c:pt idx="0" formatCode="#,##0">
                  <c:v>0</c:v>
                </c:pt>
                <c:pt idx="1">
                  <c:v>26.612903225806448</c:v>
                </c:pt>
                <c:pt idx="2">
                  <c:v>15.923566878980893</c:v>
                </c:pt>
                <c:pt idx="3">
                  <c:v>12.087912087912088</c:v>
                </c:pt>
                <c:pt idx="4">
                  <c:v>7.8431372549019613</c:v>
                </c:pt>
                <c:pt idx="5">
                  <c:v>2.2727272727272663</c:v>
                </c:pt>
                <c:pt idx="6">
                  <c:v>2.2222222222222143</c:v>
                </c:pt>
              </c:numCache>
            </c:numRef>
          </c:val>
          <c:smooth val="0"/>
          <c:extLst>
            <c:ext xmlns:c16="http://schemas.microsoft.com/office/drawing/2014/chart" uri="{C3380CC4-5D6E-409C-BE32-E72D297353CC}">
              <c16:uniqueId val="{00000002-7C94-46C8-9181-4BB478076098}"/>
            </c:ext>
          </c:extLst>
        </c:ser>
        <c:dLbls>
          <c:showLegendKey val="0"/>
          <c:showVal val="0"/>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37308592"/>
        <c:crosses val="max"/>
        <c:auto val="0"/>
        <c:lblOffset val="100"/>
        <c:baseTimeUnit val="days"/>
      </c:dateAx>
      <c:valAx>
        <c:axId val="337308592"/>
        <c:scaling>
          <c:orientation val="minMax"/>
          <c:min val="100"/>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out"/>
        <c:minorTickMark val="none"/>
        <c:tickLblPos val="nextTo"/>
        <c:crossAx val="21182840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358775</xdr:colOff>
      <xdr:row>0</xdr:row>
      <xdr:rowOff>19050</xdr:rowOff>
    </xdr:from>
    <xdr:to>
      <xdr:col>11</xdr:col>
      <xdr:colOff>625475</xdr:colOff>
      <xdr:row>14</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33</xdr:row>
      <xdr:rowOff>88900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227339</xdr:colOff>
      <xdr:row>67</xdr:row>
      <xdr:rowOff>93102</xdr:rowOff>
    </xdr:from>
    <xdr:to>
      <xdr:col>24</xdr:col>
      <xdr:colOff>502771</xdr:colOff>
      <xdr:row>86</xdr:row>
      <xdr:rowOff>104215</xdr:rowOff>
    </xdr:to>
    <xdr:graphicFrame macro="">
      <xdr:nvGraphicFramePr>
        <xdr:cNvPr id="15" name="Diagramm 14">
          <a:extLst>
            <a:ext uri="{FF2B5EF4-FFF2-40B4-BE49-F238E27FC236}">
              <a16:creationId xmlns:a16="http://schemas.microsoft.com/office/drawing/2014/main" id="{EE32334B-59B3-108D-8187-870940927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873125</xdr:colOff>
      <xdr:row>33</xdr:row>
      <xdr:rowOff>171450</xdr:rowOff>
    </xdr:from>
    <xdr:to>
      <xdr:col>8</xdr:col>
      <xdr:colOff>98425</xdr:colOff>
      <xdr:row>48</xdr:row>
      <xdr:rowOff>152400</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162718</xdr:colOff>
      <xdr:row>67</xdr:row>
      <xdr:rowOff>17463</xdr:rowOff>
    </xdr:from>
    <xdr:to>
      <xdr:col>14</xdr:col>
      <xdr:colOff>281780</xdr:colOff>
      <xdr:row>80</xdr:row>
      <xdr:rowOff>14288</xdr:rowOff>
    </xdr:to>
    <xdr:graphicFrame macro="">
      <xdr:nvGraphicFramePr>
        <xdr:cNvPr id="53" name="Diagramm 52">
          <a:extLst>
            <a:ext uri="{FF2B5EF4-FFF2-40B4-BE49-F238E27FC236}">
              <a16:creationId xmlns:a16="http://schemas.microsoft.com/office/drawing/2014/main" id="{C894379D-33D6-EDF2-0B10-4BE4CB915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138906</xdr:colOff>
      <xdr:row>80</xdr:row>
      <xdr:rowOff>17463</xdr:rowOff>
    </xdr:from>
    <xdr:to>
      <xdr:col>14</xdr:col>
      <xdr:colOff>257968</xdr:colOff>
      <xdr:row>94</xdr:row>
      <xdr:rowOff>93663</xdr:rowOff>
    </xdr:to>
    <xdr:graphicFrame macro="">
      <xdr:nvGraphicFramePr>
        <xdr:cNvPr id="54" name="Diagramm 53">
          <a:extLst>
            <a:ext uri="{FF2B5EF4-FFF2-40B4-BE49-F238E27FC236}">
              <a16:creationId xmlns:a16="http://schemas.microsoft.com/office/drawing/2014/main" id="{44F29917-E5F4-89B1-53D5-3300DF55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266700</xdr:colOff>
      <xdr:row>49</xdr:row>
      <xdr:rowOff>47625</xdr:rowOff>
    </xdr:from>
    <xdr:to>
      <xdr:col>21</xdr:col>
      <xdr:colOff>257175</xdr:colOff>
      <xdr:row>64</xdr:row>
      <xdr:rowOff>9525</xdr:rowOff>
    </xdr:to>
    <xdr:graphicFrame macro="">
      <xdr:nvGraphicFramePr>
        <xdr:cNvPr id="76" name="Diagramm 72">
          <a:extLst>
            <a:ext uri="{FF2B5EF4-FFF2-40B4-BE49-F238E27FC236}">
              <a16:creationId xmlns:a16="http://schemas.microsoft.com/office/drawing/2014/main" id="{A6BBD827-C39E-1944-0ACB-5EB6429C12CF}"/>
            </a:ext>
            <a:ext uri="{147F2762-F138-4A5C-976F-8EAC2B608ADB}">
              <a16:predDERef xmlns:a16="http://schemas.microsoft.com/office/drawing/2014/main" pred="{537615CA-5D85-0948-FB28-7DC5A288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codeName="Leht1">
    <tabColor theme="8" tint="0.59999389629810485"/>
  </sheetPr>
  <dimension ref="A1:AT205"/>
  <sheetViews>
    <sheetView topLeftCell="N34" zoomScale="70" zoomScaleNormal="70" workbookViewId="0">
      <selection activeCell="AB49" sqref="AB49"/>
    </sheetView>
  </sheetViews>
  <sheetFormatPr defaultColWidth="8.5703125" defaultRowHeight="15" x14ac:dyDescent="0.25"/>
  <cols>
    <col min="1" max="1" width="21.42578125" style="200" customWidth="1"/>
    <col min="2" max="2" width="15" style="200" customWidth="1"/>
    <col min="3" max="3" width="13.5703125" style="200" customWidth="1"/>
    <col min="4" max="4" width="14.28515625" style="200" customWidth="1"/>
    <col min="5" max="5" width="16.5703125" style="200" customWidth="1"/>
    <col min="6" max="6" width="18.42578125" style="200" customWidth="1"/>
    <col min="7" max="7" width="14.28515625" style="200" customWidth="1"/>
    <col min="8" max="8" width="12.7109375" style="200" customWidth="1"/>
    <col min="9" max="9" width="34.28515625" style="200" customWidth="1"/>
    <col min="10" max="10" width="25.42578125" style="620" customWidth="1"/>
    <col min="11" max="11" width="46.5703125" style="200" customWidth="1"/>
    <col min="12" max="12" width="17.140625" style="200" customWidth="1"/>
    <col min="13" max="13" width="12" style="200" customWidth="1"/>
    <col min="14" max="14" width="14.42578125" style="200" customWidth="1"/>
    <col min="15" max="15" width="12.42578125" style="200" customWidth="1"/>
    <col min="16" max="16" width="8.5703125" style="200"/>
    <col min="17" max="17" width="14.7109375" style="1" customWidth="1"/>
    <col min="18" max="23" width="13.28515625" style="1" customWidth="1"/>
    <col min="24" max="24" width="11.28515625" style="1" customWidth="1"/>
    <col min="25" max="26" width="10.28515625" style="1" customWidth="1"/>
    <col min="27" max="27" width="10.42578125" style="200" bestFit="1" customWidth="1"/>
    <col min="28" max="28" width="10.7109375" style="200" customWidth="1"/>
    <col min="29" max="29" width="11.28515625" style="200" customWidth="1"/>
    <col min="30" max="30" width="10.28515625" style="200" customWidth="1"/>
    <col min="31" max="31" width="11.42578125" style="200" customWidth="1"/>
    <col min="32" max="32" width="11.28515625" style="200" customWidth="1"/>
    <col min="33" max="41" width="10.28515625" style="200" customWidth="1"/>
    <col min="42" max="42" width="40.42578125" style="200" customWidth="1"/>
    <col min="43" max="43" width="37" style="200" customWidth="1"/>
    <col min="44" max="44" width="60.5703125" style="200" bestFit="1" customWidth="1"/>
    <col min="45" max="45" width="48.42578125" style="200" customWidth="1"/>
    <col min="46" max="46" width="23.42578125" style="200" customWidth="1"/>
    <col min="47" max="16384" width="8.5703125" style="200"/>
  </cols>
  <sheetData>
    <row r="1" spans="1:14" s="1" customFormat="1" ht="14.65" customHeight="1" thickBot="1" x14ac:dyDescent="0.3">
      <c r="A1" s="5" t="s">
        <v>0</v>
      </c>
      <c r="B1" s="191"/>
      <c r="C1" s="192"/>
      <c r="D1" s="192"/>
      <c r="E1" s="192"/>
      <c r="F1" s="8"/>
      <c r="G1" s="192"/>
      <c r="H1" s="308"/>
      <c r="I1" s="8"/>
      <c r="J1" s="3"/>
      <c r="L1" s="661" t="s">
        <v>1</v>
      </c>
    </row>
    <row r="2" spans="1:14" s="1" customFormat="1" ht="30.75" customHeight="1" thickBot="1" x14ac:dyDescent="0.3">
      <c r="A2" s="165" t="s">
        <v>2</v>
      </c>
      <c r="B2" s="720" t="s">
        <v>3</v>
      </c>
      <c r="C2" s="721"/>
      <c r="D2" s="721"/>
      <c r="E2" s="722"/>
      <c r="F2" s="8"/>
      <c r="G2" s="720" t="s">
        <v>4</v>
      </c>
      <c r="H2" s="721"/>
      <c r="I2" s="721"/>
      <c r="J2" s="721"/>
      <c r="K2" s="722"/>
      <c r="L2" s="662" t="s">
        <v>5</v>
      </c>
    </row>
    <row r="3" spans="1:14" s="1" customFormat="1" ht="76.5" x14ac:dyDescent="0.25">
      <c r="A3" s="186" t="s">
        <v>6</v>
      </c>
      <c r="B3" s="187" t="s">
        <v>7</v>
      </c>
      <c r="C3" s="188">
        <v>2023</v>
      </c>
      <c r="D3" s="188">
        <v>2024</v>
      </c>
      <c r="E3" s="188">
        <v>2025</v>
      </c>
      <c r="F3" s="8"/>
      <c r="G3" s="5" t="s">
        <v>8</v>
      </c>
      <c r="H3" s="193" t="s">
        <v>9</v>
      </c>
      <c r="I3" s="194" t="s">
        <v>10</v>
      </c>
      <c r="J3" s="195" t="s">
        <v>11</v>
      </c>
      <c r="K3" s="195" t="s">
        <v>12</v>
      </c>
      <c r="L3" s="660"/>
      <c r="M3" s="8"/>
      <c r="N3" s="3"/>
    </row>
    <row r="4" spans="1:14" s="1" customFormat="1" x14ac:dyDescent="0.25">
      <c r="A4" s="189" t="s">
        <v>13</v>
      </c>
      <c r="B4" s="9">
        <f>SUM(C4:E4)</f>
        <v>32586726.259999998</v>
      </c>
      <c r="C4" s="9">
        <f>SUM(C5+C12)</f>
        <v>2104115</v>
      </c>
      <c r="D4" s="9">
        <f>SUM(D5+D12)</f>
        <v>15575462.5</v>
      </c>
      <c r="E4" s="9">
        <f>SUM(E5+E12)</f>
        <v>14907148.76</v>
      </c>
      <c r="F4" s="8"/>
      <c r="G4" s="9">
        <f>SUM(H4:K4)</f>
        <v>38760945.945</v>
      </c>
      <c r="H4" s="196">
        <f>SUMIFS(Q35:Q74,G35:G74,$G$77)</f>
        <v>10102142</v>
      </c>
      <c r="I4" s="197">
        <f>SUMIFS(Q35:Q74,G35:G74,$G$78)</f>
        <v>2392700</v>
      </c>
      <c r="J4" s="197">
        <f>SUMIFS(Q35:Q74,G35:G74,$G$79)</f>
        <v>934942.83499999996</v>
      </c>
      <c r="K4" s="197">
        <f>SUMIFS(Q35:Q74,G35:G74,$G$80)</f>
        <v>25331161.109999999</v>
      </c>
      <c r="L4" s="584"/>
      <c r="M4" s="8"/>
      <c r="N4" s="4"/>
    </row>
    <row r="5" spans="1:14" s="1" customFormat="1" x14ac:dyDescent="0.25">
      <c r="A5" s="189" t="s">
        <v>14</v>
      </c>
      <c r="B5" s="9">
        <f>SUM(C5:E5)</f>
        <v>18529082.259999998</v>
      </c>
      <c r="C5" s="9">
        <f>SUM(C6:C11)</f>
        <v>2085469</v>
      </c>
      <c r="D5" s="9">
        <f>SUM(D6:D11)</f>
        <v>11992048.5</v>
      </c>
      <c r="E5" s="9">
        <f>SUM(E6:E11)</f>
        <v>4451564.76</v>
      </c>
      <c r="F5" s="8"/>
      <c r="G5" s="8"/>
      <c r="J5" s="8"/>
      <c r="K5" s="4"/>
      <c r="L5" s="4"/>
    </row>
    <row r="6" spans="1:14" s="1" customFormat="1" x14ac:dyDescent="0.25">
      <c r="A6" s="190" t="s">
        <v>15</v>
      </c>
      <c r="B6" s="17">
        <f>SUM(C6:E6)</f>
        <v>3700000</v>
      </c>
      <c r="C6" s="18">
        <f>SUMIFS(R35:R74,P35:P74,"Baaseelarve")</f>
        <v>0</v>
      </c>
      <c r="D6" s="18">
        <f>SUMIFS(S35:S74,P35:P74,"Baaseelarve")</f>
        <v>3700000</v>
      </c>
      <c r="E6" s="18">
        <f>SUMIFS(T35:T74,P35:P74,"Baaseelarve")</f>
        <v>0</v>
      </c>
      <c r="F6" s="10"/>
      <c r="G6" s="8"/>
      <c r="H6" s="8"/>
      <c r="I6" s="8"/>
      <c r="J6" s="8"/>
      <c r="K6" s="4"/>
      <c r="L6" s="4"/>
    </row>
    <row r="7" spans="1:14" s="1" customFormat="1" x14ac:dyDescent="0.25">
      <c r="A7" s="190" t="s">
        <v>16</v>
      </c>
      <c r="B7" s="17">
        <f>SUM(C7:E7)</f>
        <v>14829082.26</v>
      </c>
      <c r="C7" s="18">
        <f>SUMIFS(R35:R74,P35:P74,"Muu rahastus")</f>
        <v>2085469</v>
      </c>
      <c r="D7" s="18">
        <f>SUMIFS(S35:S74,P35:P74,"Muu rahastus")</f>
        <v>8292048.5</v>
      </c>
      <c r="E7" s="18">
        <f>SUMIFS(T35:T74,P35:P74,"Muu rahastus")</f>
        <v>4451564.76</v>
      </c>
      <c r="F7" s="10"/>
      <c r="G7" s="8"/>
      <c r="H7" s="8"/>
      <c r="I7" s="8"/>
      <c r="J7" s="8"/>
      <c r="K7" s="4"/>
      <c r="L7" s="4"/>
    </row>
    <row r="8" spans="1:14" s="1" customFormat="1" x14ac:dyDescent="0.25">
      <c r="A8" s="190" t="s">
        <v>17</v>
      </c>
      <c r="B8" s="17">
        <f>SUM(C8:E8)</f>
        <v>0</v>
      </c>
      <c r="C8" s="18">
        <f>SUMIFS(R35:R74,P35:P74,"Reserv (SR)")</f>
        <v>0</v>
      </c>
      <c r="D8" s="18">
        <f>SUMIFS(S35:S74,P35:P74,"Reserv (SR)")</f>
        <v>0</v>
      </c>
      <c r="E8" s="18">
        <f>SUMIFS(T35:T74,P35:P74,"Reserv (SR)")</f>
        <v>0</v>
      </c>
      <c r="F8" s="10"/>
      <c r="G8" s="8"/>
      <c r="H8" s="8"/>
      <c r="I8" s="8"/>
      <c r="J8" s="8"/>
      <c r="K8" s="4"/>
      <c r="L8" s="4"/>
    </row>
    <row r="9" spans="1:14" s="1" customFormat="1" x14ac:dyDescent="0.25">
      <c r="A9" s="190" t="s">
        <v>18</v>
      </c>
      <c r="B9" s="17">
        <f t="shared" ref="B9" si="0">SUM(C9:D9)</f>
        <v>0</v>
      </c>
      <c r="C9" s="18">
        <f>SUMIFS(R35:R74,P35:P74,"RRF")</f>
        <v>0</v>
      </c>
      <c r="D9" s="18">
        <f>SUMIFS(S35:S74,P35:P74,"RRF")</f>
        <v>0</v>
      </c>
      <c r="E9" s="18"/>
      <c r="F9" s="10"/>
      <c r="G9" s="8"/>
      <c r="H9" s="8"/>
      <c r="I9" s="8"/>
      <c r="J9" s="8"/>
      <c r="K9" s="4"/>
      <c r="L9" s="4"/>
    </row>
    <row r="10" spans="1:14" s="1" customFormat="1" x14ac:dyDescent="0.25">
      <c r="A10" s="190" t="s">
        <v>19</v>
      </c>
      <c r="B10" s="17">
        <f>SUM(C10:E10)</f>
        <v>0</v>
      </c>
      <c r="C10" s="18">
        <f>SUMIFS(R35:R74,P35:P74,"SF 14-20 (töös olev projekt)")</f>
        <v>0</v>
      </c>
      <c r="D10" s="18">
        <f>SUMIFS(S35:S74,P35:P74,"SF 14-20 (töös olev projekt)")</f>
        <v>0</v>
      </c>
      <c r="E10" s="18">
        <f>SUMIFS(T35:T74,P35:P74,"SF 14-20 (töös olev projekt)")</f>
        <v>0</v>
      </c>
      <c r="F10" s="10"/>
      <c r="G10" s="8"/>
      <c r="H10" s="8"/>
      <c r="I10" s="8"/>
      <c r="J10" s="8"/>
      <c r="K10" s="4"/>
      <c r="L10" s="4"/>
    </row>
    <row r="11" spans="1:14" s="1" customFormat="1" x14ac:dyDescent="0.25">
      <c r="A11" s="190" t="s">
        <v>20</v>
      </c>
      <c r="B11" s="17">
        <f>SUM(C11:E11)</f>
        <v>0</v>
      </c>
      <c r="C11" s="18">
        <f>SUMIFS(R35:R74,P35:P74,"RRF")</f>
        <v>0</v>
      </c>
      <c r="D11" s="18">
        <f>SUMIFS(S35:S74,P35:P74,"RRF")</f>
        <v>0</v>
      </c>
      <c r="E11" s="18">
        <f>SUMIFS(T35:T74,P35:P74,"RRF")</f>
        <v>0</v>
      </c>
      <c r="F11" s="10"/>
      <c r="G11" s="8"/>
      <c r="H11" s="8"/>
      <c r="I11" s="8"/>
      <c r="J11" s="8"/>
      <c r="K11" s="4"/>
      <c r="L11" s="4"/>
    </row>
    <row r="12" spans="1:14" s="1" customFormat="1" x14ac:dyDescent="0.25">
      <c r="A12" s="189" t="s">
        <v>21</v>
      </c>
      <c r="B12" s="9">
        <f>SUM(C12:E12)</f>
        <v>14057644</v>
      </c>
      <c r="C12" s="9">
        <f>SUM(C13:C14)</f>
        <v>18646</v>
      </c>
      <c r="D12" s="9">
        <f>SUM(D13:D14)</f>
        <v>3583414</v>
      </c>
      <c r="E12" s="9">
        <f>SUM(E13:E14)</f>
        <v>10455584</v>
      </c>
      <c r="F12" s="10"/>
      <c r="G12" s="8"/>
      <c r="H12" s="8"/>
      <c r="I12" s="8"/>
      <c r="J12" s="8"/>
      <c r="K12" s="4"/>
      <c r="L12" s="4"/>
    </row>
    <row r="13" spans="1:14" s="1" customFormat="1" x14ac:dyDescent="0.25">
      <c r="A13" s="190" t="s">
        <v>22</v>
      </c>
      <c r="B13" s="17">
        <f>SUM(C13:E13)</f>
        <v>5475223</v>
      </c>
      <c r="C13" s="18">
        <f>SUMIFS(R35:R74,P35:P74,"RES IKT (vaja juurde taotleda)")</f>
        <v>0</v>
      </c>
      <c r="D13" s="18">
        <f>SUMIFS(S35:S74,P35:P74,"RES IKT (vaja juurde taotleda)")</f>
        <v>0</v>
      </c>
      <c r="E13" s="18">
        <f>SUMIFS(T35:T74,P35:P74,"RES IKT (vaja juurde taotleda)")</f>
        <v>5475223</v>
      </c>
      <c r="F13" s="10" t="s">
        <v>23</v>
      </c>
      <c r="G13" s="8"/>
      <c r="H13" s="8"/>
      <c r="I13" s="8"/>
      <c r="J13" s="8"/>
      <c r="K13" s="4"/>
      <c r="L13" s="4"/>
    </row>
    <row r="14" spans="1:14" s="1" customFormat="1" x14ac:dyDescent="0.25">
      <c r="A14" s="190" t="s">
        <v>24</v>
      </c>
      <c r="B14" s="17">
        <f>SUM(C14:E14)</f>
        <v>8582421</v>
      </c>
      <c r="C14" s="18">
        <f>SUMIFS(R35:R74,P35:P74,"SF 21-27 (taotletav raha)")</f>
        <v>18646</v>
      </c>
      <c r="D14" s="18">
        <f>SUMIFS(S35:S74,P35:P74,"SF 21-27 (taotletav raha)")</f>
        <v>3583414</v>
      </c>
      <c r="E14" s="18">
        <f>SUMIFS(T35:T74,P35:P74,"SF 21-27 (taotletav raha)")</f>
        <v>4980361</v>
      </c>
      <c r="F14" s="10" t="s">
        <v>25</v>
      </c>
      <c r="G14" s="8"/>
      <c r="H14" s="8"/>
      <c r="I14" s="8"/>
      <c r="J14" s="8"/>
      <c r="K14" s="4"/>
      <c r="L14" s="4"/>
    </row>
    <row r="15" spans="1:14" s="1" customFormat="1" x14ac:dyDescent="0.25">
      <c r="A15" s="6"/>
      <c r="B15" s="6"/>
      <c r="C15" s="6"/>
      <c r="D15" s="6"/>
      <c r="E15" s="6"/>
      <c r="F15" s="6"/>
      <c r="G15" s="6"/>
      <c r="H15" s="6"/>
      <c r="I15" s="6"/>
      <c r="J15" s="3"/>
    </row>
    <row r="16" spans="1:14" s="1" customFormat="1" ht="15.75" thickBot="1" x14ac:dyDescent="0.3">
      <c r="A16" s="10" t="s">
        <v>26</v>
      </c>
      <c r="B16" s="6"/>
      <c r="C16" s="6"/>
      <c r="D16" s="6"/>
      <c r="E16" s="6"/>
      <c r="F16" s="6"/>
      <c r="G16" s="6"/>
      <c r="H16" s="6"/>
      <c r="I16" s="6"/>
      <c r="J16" s="3"/>
    </row>
    <row r="17" spans="1:45" s="1" customFormat="1" ht="29.1" customHeight="1" x14ac:dyDescent="0.25">
      <c r="A17" s="52" t="s">
        <v>27</v>
      </c>
      <c r="B17" s="745" t="s">
        <v>28</v>
      </c>
      <c r="C17" s="746"/>
      <c r="D17" s="746"/>
      <c r="E17" s="746"/>
      <c r="F17" s="746"/>
      <c r="G17" s="746"/>
      <c r="H17" s="746"/>
      <c r="I17" s="746"/>
      <c r="J17" s="52" t="s">
        <v>29</v>
      </c>
      <c r="K17" s="726" t="s">
        <v>30</v>
      </c>
      <c r="L17" s="727"/>
      <c r="M17" s="728"/>
      <c r="N17" s="728"/>
      <c r="O17" s="728"/>
      <c r="P17" s="728"/>
      <c r="Q17" s="728"/>
      <c r="R17" s="729"/>
    </row>
    <row r="18" spans="1:45" s="1" customFormat="1" x14ac:dyDescent="0.25">
      <c r="A18" s="53" t="s">
        <v>31</v>
      </c>
      <c r="B18" s="105" t="s">
        <v>32</v>
      </c>
      <c r="C18" s="106" t="s">
        <v>33</v>
      </c>
      <c r="D18" s="106" t="s">
        <v>34</v>
      </c>
      <c r="E18" s="106" t="s">
        <v>35</v>
      </c>
      <c r="F18" s="106" t="s">
        <v>36</v>
      </c>
      <c r="G18" s="106" t="s">
        <v>37</v>
      </c>
      <c r="H18" s="106" t="s">
        <v>38</v>
      </c>
      <c r="I18" s="198" t="s">
        <v>39</v>
      </c>
      <c r="J18" s="65"/>
      <c r="K18" s="3"/>
      <c r="L18" s="3"/>
      <c r="R18" s="64"/>
    </row>
    <row r="19" spans="1:45" s="1" customFormat="1" ht="15.75" thickBot="1" x14ac:dyDescent="0.3">
      <c r="A19" s="54" t="s">
        <v>40</v>
      </c>
      <c r="B19" s="243">
        <v>0</v>
      </c>
      <c r="C19" s="225"/>
      <c r="D19" s="225"/>
      <c r="E19" s="225"/>
      <c r="F19" s="225"/>
      <c r="G19" s="225"/>
      <c r="H19" s="225"/>
      <c r="I19" s="226">
        <f>750000+1006500</f>
        <v>1756500</v>
      </c>
      <c r="J19" s="502"/>
      <c r="K19" s="730" t="s">
        <v>41</v>
      </c>
      <c r="L19" s="731"/>
      <c r="M19" s="732"/>
      <c r="N19" s="732"/>
      <c r="O19" s="732"/>
      <c r="P19" s="732"/>
      <c r="Q19" s="732"/>
      <c r="R19" s="733"/>
    </row>
    <row r="20" spans="1:45" s="1" customFormat="1" ht="29.1" customHeight="1" x14ac:dyDescent="0.25">
      <c r="A20" s="52" t="s">
        <v>42</v>
      </c>
      <c r="B20" s="747" t="s">
        <v>43</v>
      </c>
      <c r="C20" s="748"/>
      <c r="D20" s="748"/>
      <c r="E20" s="748"/>
      <c r="F20" s="748"/>
      <c r="G20" s="748"/>
      <c r="H20" s="748"/>
      <c r="I20" s="749"/>
      <c r="J20" s="67"/>
      <c r="K20" s="726" t="s">
        <v>44</v>
      </c>
      <c r="L20" s="727"/>
      <c r="M20" s="728"/>
      <c r="N20" s="728"/>
      <c r="O20" s="728"/>
      <c r="P20" s="728"/>
      <c r="Q20" s="728"/>
      <c r="R20" s="729"/>
    </row>
    <row r="21" spans="1:45" s="1" customFormat="1" x14ac:dyDescent="0.25">
      <c r="A21" s="53" t="s">
        <v>31</v>
      </c>
      <c r="B21" s="105" t="s">
        <v>32</v>
      </c>
      <c r="C21" s="106" t="s">
        <v>33</v>
      </c>
      <c r="D21" s="106" t="s">
        <v>34</v>
      </c>
      <c r="E21" s="106" t="s">
        <v>35</v>
      </c>
      <c r="F21" s="106" t="s">
        <v>36</v>
      </c>
      <c r="G21" s="106" t="s">
        <v>37</v>
      </c>
      <c r="H21" s="106" t="s">
        <v>38</v>
      </c>
      <c r="I21" s="198" t="s">
        <v>39</v>
      </c>
      <c r="J21" s="65"/>
      <c r="K21" s="3"/>
      <c r="L21" s="3"/>
      <c r="R21" s="64"/>
    </row>
    <row r="22" spans="1:45" s="1" customFormat="1" ht="15.75" thickBot="1" x14ac:dyDescent="0.3">
      <c r="A22" s="54" t="s">
        <v>40</v>
      </c>
      <c r="B22" s="243">
        <v>0</v>
      </c>
      <c r="C22" s="225">
        <v>0</v>
      </c>
      <c r="D22" s="225">
        <v>4</v>
      </c>
      <c r="E22" s="225">
        <v>5</v>
      </c>
      <c r="F22" s="225">
        <v>6</v>
      </c>
      <c r="G22" s="225"/>
      <c r="H22" s="225"/>
      <c r="I22" s="226">
        <v>20</v>
      </c>
      <c r="J22" s="556" t="s">
        <v>45</v>
      </c>
      <c r="K22" s="730" t="s">
        <v>46</v>
      </c>
      <c r="L22" s="731"/>
      <c r="M22" s="732"/>
      <c r="N22" s="732"/>
      <c r="O22" s="732"/>
      <c r="P22" s="732"/>
      <c r="Q22" s="732"/>
      <c r="R22" s="733"/>
    </row>
    <row r="23" spans="1:45" s="1" customFormat="1" ht="29.1" customHeight="1" x14ac:dyDescent="0.25">
      <c r="A23" s="52" t="s">
        <v>42</v>
      </c>
      <c r="B23" s="747" t="s">
        <v>47</v>
      </c>
      <c r="C23" s="748"/>
      <c r="D23" s="748"/>
      <c r="E23" s="748"/>
      <c r="F23" s="748"/>
      <c r="G23" s="748"/>
      <c r="H23" s="748"/>
      <c r="I23" s="749"/>
      <c r="J23" s="67"/>
      <c r="K23" s="726" t="s">
        <v>48</v>
      </c>
      <c r="L23" s="727"/>
      <c r="M23" s="728"/>
      <c r="N23" s="728"/>
      <c r="O23" s="728"/>
      <c r="P23" s="728"/>
      <c r="Q23" s="728"/>
      <c r="R23" s="729"/>
    </row>
    <row r="24" spans="1:45" s="1" customFormat="1" x14ac:dyDescent="0.25">
      <c r="A24" s="53" t="s">
        <v>31</v>
      </c>
      <c r="B24" s="105" t="s">
        <v>32</v>
      </c>
      <c r="C24" s="106" t="s">
        <v>33</v>
      </c>
      <c r="D24" s="106" t="s">
        <v>34</v>
      </c>
      <c r="E24" s="106" t="s">
        <v>35</v>
      </c>
      <c r="F24" s="106" t="s">
        <v>36</v>
      </c>
      <c r="G24" s="106" t="s">
        <v>37</v>
      </c>
      <c r="H24" s="106" t="s">
        <v>38</v>
      </c>
      <c r="I24" s="198" t="s">
        <v>39</v>
      </c>
      <c r="J24" s="65"/>
      <c r="K24" s="3"/>
      <c r="L24" s="3"/>
      <c r="R24" s="64"/>
    </row>
    <row r="25" spans="1:45" s="1" customFormat="1" ht="60.75" thickBot="1" x14ac:dyDescent="0.3">
      <c r="A25" s="54" t="s">
        <v>40</v>
      </c>
      <c r="B25" s="243">
        <v>0</v>
      </c>
      <c r="C25" s="225">
        <v>4</v>
      </c>
      <c r="D25" s="225">
        <v>4</v>
      </c>
      <c r="E25" s="225">
        <v>4</v>
      </c>
      <c r="F25" s="225">
        <v>4</v>
      </c>
      <c r="G25" s="225">
        <v>4</v>
      </c>
      <c r="H25" s="225">
        <v>4</v>
      </c>
      <c r="I25" s="226"/>
      <c r="J25" s="227" t="s">
        <v>49</v>
      </c>
      <c r="K25" s="730" t="s">
        <v>50</v>
      </c>
      <c r="L25" s="731"/>
      <c r="M25" s="732"/>
      <c r="N25" s="732"/>
      <c r="O25" s="732"/>
      <c r="P25" s="732"/>
      <c r="Q25" s="732"/>
      <c r="R25" s="733"/>
    </row>
    <row r="26" spans="1:45" s="1" customFormat="1" ht="75" x14ac:dyDescent="0.25">
      <c r="A26" s="52" t="s">
        <v>51</v>
      </c>
      <c r="B26" s="747" t="s">
        <v>52</v>
      </c>
      <c r="C26" s="748"/>
      <c r="D26" s="748"/>
      <c r="E26" s="748"/>
      <c r="F26" s="748"/>
      <c r="G26" s="748"/>
      <c r="H26" s="748"/>
      <c r="I26" s="749"/>
      <c r="J26" s="67"/>
      <c r="K26" s="726" t="s">
        <v>53</v>
      </c>
      <c r="L26" s="727"/>
      <c r="M26" s="728"/>
      <c r="N26" s="728"/>
      <c r="O26" s="728"/>
      <c r="P26" s="728"/>
      <c r="Q26" s="728"/>
      <c r="R26" s="729"/>
    </row>
    <row r="27" spans="1:45" s="1" customFormat="1" ht="14.65" customHeight="1" x14ac:dyDescent="0.25">
      <c r="A27" s="53" t="s">
        <v>31</v>
      </c>
      <c r="B27" s="105" t="s">
        <v>32</v>
      </c>
      <c r="C27" s="106" t="s">
        <v>33</v>
      </c>
      <c r="D27" s="106" t="s">
        <v>34</v>
      </c>
      <c r="E27" s="106" t="s">
        <v>35</v>
      </c>
      <c r="F27" s="106" t="s">
        <v>36</v>
      </c>
      <c r="G27" s="106" t="s">
        <v>37</v>
      </c>
      <c r="H27" s="106" t="s">
        <v>38</v>
      </c>
      <c r="I27" s="198" t="s">
        <v>39</v>
      </c>
      <c r="J27" s="65"/>
      <c r="K27" s="3"/>
      <c r="L27" s="3"/>
      <c r="R27" s="64"/>
    </row>
    <row r="28" spans="1:45" s="1" customFormat="1" ht="15.75" thickBot="1" x14ac:dyDescent="0.3">
      <c r="A28" s="54" t="s">
        <v>40</v>
      </c>
      <c r="B28" s="243">
        <v>69</v>
      </c>
      <c r="C28" s="225">
        <v>69</v>
      </c>
      <c r="D28" s="225">
        <v>73</v>
      </c>
      <c r="E28" s="225">
        <v>76</v>
      </c>
      <c r="F28" s="225">
        <v>79</v>
      </c>
      <c r="G28" s="225">
        <v>83</v>
      </c>
      <c r="H28" s="225">
        <v>87</v>
      </c>
      <c r="I28" s="226">
        <v>90</v>
      </c>
      <c r="J28" s="502"/>
      <c r="K28" s="730" t="s">
        <v>54</v>
      </c>
      <c r="L28" s="731"/>
      <c r="M28" s="732"/>
      <c r="N28" s="732"/>
      <c r="O28" s="732"/>
      <c r="P28" s="732"/>
      <c r="Q28" s="732"/>
      <c r="R28" s="733"/>
    </row>
    <row r="29" spans="1:45" s="1" customFormat="1" x14ac:dyDescent="0.25">
      <c r="A29" s="3"/>
      <c r="B29" s="3"/>
      <c r="J29" s="503"/>
    </row>
    <row r="30" spans="1:45" s="1" customFormat="1" x14ac:dyDescent="0.25">
      <c r="J30" s="3"/>
    </row>
    <row r="31" spans="1:45" s="1" customFormat="1" ht="15.75" thickBot="1" x14ac:dyDescent="0.3">
      <c r="C31" s="72"/>
      <c r="D31" s="72"/>
      <c r="J31" s="3"/>
    </row>
    <row r="32" spans="1:45" s="1" customFormat="1" ht="15.75" thickBot="1" x14ac:dyDescent="0.3">
      <c r="C32" s="72"/>
      <c r="D32" s="72"/>
      <c r="J32" s="3"/>
      <c r="X32" s="743" t="s">
        <v>55</v>
      </c>
      <c r="Y32" s="744"/>
      <c r="Z32" s="744"/>
      <c r="AA32" s="744"/>
      <c r="AB32" s="744"/>
      <c r="AC32" s="744"/>
      <c r="AD32" s="744"/>
      <c r="AE32" s="744"/>
      <c r="AF32" s="744"/>
      <c r="AG32" s="744"/>
      <c r="AH32" s="744"/>
      <c r="AI32" s="744"/>
      <c r="AJ32" s="744"/>
      <c r="AK32" s="744"/>
      <c r="AL32" s="744"/>
      <c r="AM32" s="728"/>
      <c r="AN32" s="728"/>
      <c r="AO32" s="729"/>
      <c r="AS32" s="34"/>
    </row>
    <row r="33" spans="1:46" ht="75.75" thickBot="1" x14ac:dyDescent="0.3">
      <c r="A33" s="593" t="s">
        <v>56</v>
      </c>
      <c r="B33" s="274" t="s">
        <v>57</v>
      </c>
      <c r="C33" s="274" t="s">
        <v>58</v>
      </c>
      <c r="D33" s="274" t="s">
        <v>59</v>
      </c>
      <c r="E33" s="274" t="s">
        <v>60</v>
      </c>
      <c r="F33" s="274" t="s">
        <v>61</v>
      </c>
      <c r="G33" s="274" t="s">
        <v>62</v>
      </c>
      <c r="H33" s="274" t="s">
        <v>63</v>
      </c>
      <c r="I33" s="274" t="s">
        <v>64</v>
      </c>
      <c r="J33" s="274" t="s">
        <v>65</v>
      </c>
      <c r="K33" s="275" t="s">
        <v>66</v>
      </c>
      <c r="L33" s="661" t="s">
        <v>1</v>
      </c>
      <c r="M33" s="276" t="s">
        <v>67</v>
      </c>
      <c r="N33" s="274" t="s">
        <v>68</v>
      </c>
      <c r="O33" s="274" t="s">
        <v>69</v>
      </c>
      <c r="P33" s="274" t="s">
        <v>70</v>
      </c>
      <c r="Q33" s="277" t="s">
        <v>71</v>
      </c>
      <c r="R33" s="273">
        <v>2023</v>
      </c>
      <c r="S33" s="216">
        <v>2024</v>
      </c>
      <c r="T33" s="216">
        <v>2025</v>
      </c>
      <c r="U33" s="216">
        <v>2026</v>
      </c>
      <c r="V33" s="216">
        <v>2027</v>
      </c>
      <c r="W33" s="215">
        <v>2028</v>
      </c>
      <c r="X33" s="737" t="s">
        <v>72</v>
      </c>
      <c r="Y33" s="738"/>
      <c r="Z33" s="739"/>
      <c r="AA33" s="740">
        <v>2024</v>
      </c>
      <c r="AB33" s="741"/>
      <c r="AC33" s="742"/>
      <c r="AD33" s="740">
        <v>2025</v>
      </c>
      <c r="AE33" s="741"/>
      <c r="AF33" s="742"/>
      <c r="AG33" s="740">
        <v>2026</v>
      </c>
      <c r="AH33" s="741"/>
      <c r="AI33" s="742"/>
      <c r="AJ33" s="740">
        <v>2027</v>
      </c>
      <c r="AK33" s="741"/>
      <c r="AL33" s="741"/>
      <c r="AM33" s="734">
        <v>2028</v>
      </c>
      <c r="AN33" s="735"/>
      <c r="AO33" s="736"/>
      <c r="AP33" s="594" t="s">
        <v>73</v>
      </c>
      <c r="AQ33" s="595" t="s">
        <v>74</v>
      </c>
      <c r="AR33" s="594" t="s">
        <v>75</v>
      </c>
      <c r="AS33" s="596" t="s">
        <v>76</v>
      </c>
      <c r="AT33" s="597" t="s">
        <v>77</v>
      </c>
    </row>
    <row r="34" spans="1:46" s="199" customFormat="1" ht="169.5" customHeight="1" thickBot="1" x14ac:dyDescent="0.3">
      <c r="A34" s="389" t="s">
        <v>78</v>
      </c>
      <c r="B34" s="278" t="s">
        <v>79</v>
      </c>
      <c r="C34" s="278" t="s">
        <v>80</v>
      </c>
      <c r="D34" s="278" t="s">
        <v>81</v>
      </c>
      <c r="E34" s="279" t="s">
        <v>82</v>
      </c>
      <c r="F34" s="279" t="s">
        <v>82</v>
      </c>
      <c r="G34" s="279" t="s">
        <v>83</v>
      </c>
      <c r="H34" s="278" t="s">
        <v>84</v>
      </c>
      <c r="I34" s="278" t="s">
        <v>85</v>
      </c>
      <c r="J34" s="278" t="s">
        <v>86</v>
      </c>
      <c r="K34" s="278" t="s">
        <v>87</v>
      </c>
      <c r="L34" s="662" t="s">
        <v>5</v>
      </c>
      <c r="M34" s="280" t="s">
        <v>88</v>
      </c>
      <c r="N34" s="280" t="s">
        <v>89</v>
      </c>
      <c r="O34" s="281" t="s">
        <v>90</v>
      </c>
      <c r="P34" s="279" t="s">
        <v>82</v>
      </c>
      <c r="Q34" s="282"/>
      <c r="R34" s="723"/>
      <c r="S34" s="724"/>
      <c r="T34" s="724"/>
      <c r="U34" s="724"/>
      <c r="V34" s="724"/>
      <c r="W34" s="725"/>
      <c r="X34" s="28" t="s">
        <v>91</v>
      </c>
      <c r="Y34" s="25" t="s">
        <v>92</v>
      </c>
      <c r="Z34" s="26" t="s">
        <v>93</v>
      </c>
      <c r="AA34" s="24" t="s">
        <v>91</v>
      </c>
      <c r="AB34" s="25" t="s">
        <v>92</v>
      </c>
      <c r="AC34" s="27" t="s">
        <v>93</v>
      </c>
      <c r="AD34" s="28" t="s">
        <v>91</v>
      </c>
      <c r="AE34" s="25" t="s">
        <v>92</v>
      </c>
      <c r="AF34" s="26" t="s">
        <v>93</v>
      </c>
      <c r="AG34" s="28" t="s">
        <v>91</v>
      </c>
      <c r="AH34" s="25" t="s">
        <v>92</v>
      </c>
      <c r="AI34" s="26" t="s">
        <v>93</v>
      </c>
      <c r="AJ34" s="28" t="s">
        <v>91</v>
      </c>
      <c r="AK34" s="25" t="s">
        <v>92</v>
      </c>
      <c r="AL34" s="27" t="s">
        <v>93</v>
      </c>
      <c r="AM34" s="28" t="s">
        <v>91</v>
      </c>
      <c r="AN34" s="25" t="s">
        <v>92</v>
      </c>
      <c r="AO34" s="26" t="s">
        <v>93</v>
      </c>
      <c r="AP34" s="287" t="s">
        <v>94</v>
      </c>
      <c r="AQ34" s="288" t="s">
        <v>82</v>
      </c>
      <c r="AR34" s="300" t="s">
        <v>95</v>
      </c>
      <c r="AS34" s="300" t="s">
        <v>96</v>
      </c>
      <c r="AT34" s="288" t="s">
        <v>97</v>
      </c>
    </row>
    <row r="35" spans="1:46" ht="17.649999999999999" customHeight="1" x14ac:dyDescent="0.25">
      <c r="A35" s="665" t="s">
        <v>98</v>
      </c>
      <c r="B35" s="666" t="s">
        <v>99</v>
      </c>
      <c r="C35" s="666" t="s">
        <v>99</v>
      </c>
      <c r="D35" s="667" t="s">
        <v>100</v>
      </c>
      <c r="E35" s="667" t="s">
        <v>101</v>
      </c>
      <c r="F35" s="667" t="s">
        <v>102</v>
      </c>
      <c r="G35" s="667" t="s">
        <v>103</v>
      </c>
      <c r="H35" s="667"/>
      <c r="I35" s="667" t="s">
        <v>104</v>
      </c>
      <c r="J35" s="666" t="s">
        <v>105</v>
      </c>
      <c r="K35" s="667" t="s">
        <v>106</v>
      </c>
      <c r="L35" s="668" t="s">
        <v>107</v>
      </c>
      <c r="M35" s="667"/>
      <c r="N35" s="667" t="s">
        <v>108</v>
      </c>
      <c r="O35" s="667"/>
      <c r="P35" s="667" t="s">
        <v>109</v>
      </c>
      <c r="Q35" s="228">
        <f t="shared" ref="Q35:Q74" si="1">SUM(R35:W35)</f>
        <v>147310</v>
      </c>
      <c r="R35" s="238">
        <f t="shared" ref="R35" si="2">SUM(X35:Z35)</f>
        <v>0</v>
      </c>
      <c r="S35" s="237">
        <f t="shared" ref="S35" si="3">SUM(AA35:AC35)</f>
        <v>147310</v>
      </c>
      <c r="T35" s="237">
        <f t="shared" ref="T35" si="4">SUM(AD35:AF35)</f>
        <v>0</v>
      </c>
      <c r="U35" s="237">
        <f t="shared" ref="U35" si="5">SUM(AG35:AI35)</f>
        <v>0</v>
      </c>
      <c r="V35" s="237">
        <f>SUM(AJ35:AL35)</f>
        <v>0</v>
      </c>
      <c r="W35" s="239">
        <f>SUM(AM35:AO35)</f>
        <v>0</v>
      </c>
      <c r="X35" s="390"/>
      <c r="Y35" s="391"/>
      <c r="Z35" s="392"/>
      <c r="AA35" s="598">
        <v>88000</v>
      </c>
      <c r="AB35" s="680">
        <v>59310</v>
      </c>
      <c r="AC35" s="599"/>
      <c r="AD35" s="600"/>
      <c r="AE35" s="599"/>
      <c r="AF35" s="601"/>
      <c r="AG35" s="600"/>
      <c r="AH35" s="599"/>
      <c r="AI35" s="601"/>
      <c r="AJ35" s="600"/>
      <c r="AK35" s="599"/>
      <c r="AL35" s="599"/>
      <c r="AM35" s="602"/>
      <c r="AN35" s="603"/>
      <c r="AO35" s="604"/>
      <c r="AP35" s="336" t="s">
        <v>110</v>
      </c>
      <c r="AQ35" s="669" t="s">
        <v>111</v>
      </c>
      <c r="AR35" s="336"/>
      <c r="AS35" s="605"/>
      <c r="AT35" s="606"/>
    </row>
    <row r="36" spans="1:46" ht="17.649999999999999" customHeight="1" x14ac:dyDescent="0.25">
      <c r="A36" s="665" t="s">
        <v>98</v>
      </c>
      <c r="B36" s="666" t="s">
        <v>99</v>
      </c>
      <c r="C36" s="666" t="s">
        <v>99</v>
      </c>
      <c r="D36" s="666" t="s">
        <v>100</v>
      </c>
      <c r="E36" s="666" t="s">
        <v>101</v>
      </c>
      <c r="F36" s="667" t="s">
        <v>102</v>
      </c>
      <c r="G36" s="667" t="s">
        <v>103</v>
      </c>
      <c r="H36" s="667"/>
      <c r="I36" s="667" t="s">
        <v>104</v>
      </c>
      <c r="J36" s="667" t="s">
        <v>723</v>
      </c>
      <c r="K36" s="667" t="s">
        <v>113</v>
      </c>
      <c r="L36" s="668" t="s">
        <v>114</v>
      </c>
      <c r="M36" s="666"/>
      <c r="N36" s="667" t="s">
        <v>108</v>
      </c>
      <c r="O36" s="667" t="s">
        <v>115</v>
      </c>
      <c r="P36" s="667" t="s">
        <v>109</v>
      </c>
      <c r="Q36" s="228">
        <f t="shared" si="1"/>
        <v>694350</v>
      </c>
      <c r="R36" s="229">
        <f t="shared" ref="R36:R74" si="6">SUM(X36:Z36)</f>
        <v>0</v>
      </c>
      <c r="S36" s="240">
        <f t="shared" ref="S36" si="7">SUM(AA36:AC36)</f>
        <v>0</v>
      </c>
      <c r="T36" s="240">
        <f t="shared" ref="T36" si="8">SUM(AD36:AF36)</f>
        <v>694350</v>
      </c>
      <c r="U36" s="240">
        <f t="shared" ref="U36" si="9">SUM(AG36:AI36)</f>
        <v>0</v>
      </c>
      <c r="V36" s="241">
        <f>SUM(AJ36:AL36)</f>
        <v>0</v>
      </c>
      <c r="W36" s="242">
        <f t="shared" ref="W36:W74" si="10">SUM(AM36:AO36)</f>
        <v>0</v>
      </c>
      <c r="X36" s="390"/>
      <c r="Y36" s="391"/>
      <c r="Z36" s="392"/>
      <c r="AA36" s="598"/>
      <c r="AB36" s="599"/>
      <c r="AC36" s="599"/>
      <c r="AD36" s="600">
        <v>590850</v>
      </c>
      <c r="AE36" s="681">
        <v>103500</v>
      </c>
      <c r="AF36" s="601"/>
      <c r="AG36" s="600"/>
      <c r="AH36" s="599"/>
      <c r="AI36" s="601"/>
      <c r="AJ36" s="600"/>
      <c r="AK36" s="599"/>
      <c r="AL36" s="599"/>
      <c r="AM36" s="607"/>
      <c r="AN36" s="608"/>
      <c r="AO36" s="609"/>
      <c r="AP36" s="336" t="s">
        <v>110</v>
      </c>
      <c r="AQ36" s="669" t="s">
        <v>111</v>
      </c>
      <c r="AR36" s="336" t="s">
        <v>116</v>
      </c>
      <c r="AS36" s="223"/>
      <c r="AT36" s="337"/>
    </row>
    <row r="37" spans="1:46" ht="17.649999999999999" customHeight="1" x14ac:dyDescent="0.25">
      <c r="A37" s="665" t="s">
        <v>98</v>
      </c>
      <c r="B37" s="666" t="s">
        <v>99</v>
      </c>
      <c r="C37" s="666" t="s">
        <v>99</v>
      </c>
      <c r="D37" s="666" t="s">
        <v>117</v>
      </c>
      <c r="E37" s="666" t="s">
        <v>101</v>
      </c>
      <c r="F37" s="667" t="s">
        <v>118</v>
      </c>
      <c r="G37" s="667" t="s">
        <v>103</v>
      </c>
      <c r="H37" s="667"/>
      <c r="I37" s="670" t="s">
        <v>119</v>
      </c>
      <c r="J37" s="667" t="s">
        <v>724</v>
      </c>
      <c r="K37" s="667" t="s">
        <v>113</v>
      </c>
      <c r="L37" s="668" t="s">
        <v>114</v>
      </c>
      <c r="M37" s="666"/>
      <c r="N37" s="667" t="s">
        <v>121</v>
      </c>
      <c r="O37" s="667"/>
      <c r="P37" s="667" t="s">
        <v>109</v>
      </c>
      <c r="Q37" s="228">
        <f t="shared" si="1"/>
        <v>441746</v>
      </c>
      <c r="R37" s="229">
        <f t="shared" si="6"/>
        <v>0</v>
      </c>
      <c r="S37" s="240">
        <f t="shared" ref="S37:S74" si="11">SUM(AA37:AC37)</f>
        <v>107146</v>
      </c>
      <c r="T37" s="240">
        <f t="shared" ref="T37:T74" si="12">SUM(AD37:AF37)</f>
        <v>334600</v>
      </c>
      <c r="U37" s="240">
        <f t="shared" ref="U37:U74" si="13">SUM(AG37:AI37)</f>
        <v>0</v>
      </c>
      <c r="V37" s="241">
        <f t="shared" ref="V37:V74" si="14">SUM(AJ37:AL37)</f>
        <v>0</v>
      </c>
      <c r="W37" s="242">
        <f t="shared" si="10"/>
        <v>0</v>
      </c>
      <c r="X37" s="390"/>
      <c r="Y37" s="391"/>
      <c r="Z37" s="392"/>
      <c r="AA37" s="598">
        <v>78000</v>
      </c>
      <c r="AB37" s="599">
        <v>29146</v>
      </c>
      <c r="AC37" s="599">
        <v>0</v>
      </c>
      <c r="AD37" s="600">
        <v>271700</v>
      </c>
      <c r="AE37" s="681">
        <v>62900</v>
      </c>
      <c r="AF37" s="601">
        <v>0</v>
      </c>
      <c r="AG37" s="600">
        <v>0</v>
      </c>
      <c r="AH37" s="599">
        <v>0</v>
      </c>
      <c r="AI37" s="601"/>
      <c r="AJ37" s="600">
        <v>0</v>
      </c>
      <c r="AK37" s="599">
        <v>0</v>
      </c>
      <c r="AL37" s="599">
        <v>0</v>
      </c>
      <c r="AM37" s="607"/>
      <c r="AN37" s="608"/>
      <c r="AO37" s="609"/>
      <c r="AP37" s="336" t="s">
        <v>122</v>
      </c>
      <c r="AQ37" s="669" t="s">
        <v>111</v>
      </c>
      <c r="AR37" s="336" t="s">
        <v>123</v>
      </c>
      <c r="AS37" s="223"/>
      <c r="AT37" s="337"/>
    </row>
    <row r="38" spans="1:46" ht="17.649999999999999" customHeight="1" x14ac:dyDescent="0.25">
      <c r="A38" s="665" t="s">
        <v>98</v>
      </c>
      <c r="B38" s="666" t="s">
        <v>124</v>
      </c>
      <c r="C38" s="666" t="s">
        <v>124</v>
      </c>
      <c r="D38" s="666" t="s">
        <v>125</v>
      </c>
      <c r="E38" s="666" t="s">
        <v>101</v>
      </c>
      <c r="F38" s="667" t="s">
        <v>126</v>
      </c>
      <c r="G38" s="667" t="s">
        <v>127</v>
      </c>
      <c r="H38" s="667"/>
      <c r="I38" s="670" t="s">
        <v>128</v>
      </c>
      <c r="J38" s="667" t="s">
        <v>129</v>
      </c>
      <c r="K38" s="667" t="s">
        <v>130</v>
      </c>
      <c r="L38" s="668" t="s">
        <v>114</v>
      </c>
      <c r="M38" s="671"/>
      <c r="N38" s="667"/>
      <c r="O38" s="667"/>
      <c r="P38" s="667" t="s">
        <v>109</v>
      </c>
      <c r="Q38" s="228">
        <f t="shared" si="1"/>
        <v>222471.41750000001</v>
      </c>
      <c r="R38" s="229">
        <f t="shared" si="6"/>
        <v>9323</v>
      </c>
      <c r="S38" s="240">
        <f t="shared" si="11"/>
        <v>40140</v>
      </c>
      <c r="T38" s="240">
        <f t="shared" si="12"/>
        <v>40140</v>
      </c>
      <c r="U38" s="240">
        <f t="shared" si="13"/>
        <v>42147</v>
      </c>
      <c r="V38" s="241">
        <f t="shared" si="14"/>
        <v>44254.35</v>
      </c>
      <c r="W38" s="242">
        <f t="shared" si="10"/>
        <v>46467.067499999997</v>
      </c>
      <c r="X38" s="390"/>
      <c r="Y38" s="391">
        <v>9323</v>
      </c>
      <c r="Z38" s="392"/>
      <c r="AA38" s="598"/>
      <c r="AB38" s="681">
        <v>40140</v>
      </c>
      <c r="AC38" s="599"/>
      <c r="AD38" s="600"/>
      <c r="AE38" s="681">
        <v>40140</v>
      </c>
      <c r="AF38" s="601"/>
      <c r="AG38" s="600"/>
      <c r="AH38" s="599">
        <f>AE38*1.05</f>
        <v>42147</v>
      </c>
      <c r="AI38" s="601"/>
      <c r="AJ38" s="600"/>
      <c r="AK38" s="599">
        <f>AH38*1.05</f>
        <v>44254.35</v>
      </c>
      <c r="AL38" s="599"/>
      <c r="AM38" s="607"/>
      <c r="AN38" s="599">
        <f>AK38*1.05</f>
        <v>46467.067499999997</v>
      </c>
      <c r="AO38" s="609"/>
      <c r="AP38" s="336" t="s">
        <v>131</v>
      </c>
      <c r="AQ38" s="669" t="s">
        <v>132</v>
      </c>
      <c r="AR38" s="340" t="s">
        <v>133</v>
      </c>
      <c r="AS38" s="223"/>
      <c r="AT38" s="337"/>
    </row>
    <row r="39" spans="1:46" ht="17.649999999999999" customHeight="1" x14ac:dyDescent="0.25">
      <c r="A39" s="665" t="s">
        <v>98</v>
      </c>
      <c r="B39" s="666" t="s">
        <v>134</v>
      </c>
      <c r="C39" s="666" t="s">
        <v>134</v>
      </c>
      <c r="D39" s="666" t="s">
        <v>135</v>
      </c>
      <c r="E39" s="666" t="s">
        <v>101</v>
      </c>
      <c r="F39" s="667" t="s">
        <v>126</v>
      </c>
      <c r="G39" s="667" t="s">
        <v>127</v>
      </c>
      <c r="H39" s="667"/>
      <c r="I39" s="670" t="s">
        <v>136</v>
      </c>
      <c r="J39" s="667" t="s">
        <v>137</v>
      </c>
      <c r="K39" s="667" t="s">
        <v>138</v>
      </c>
      <c r="L39" s="668" t="s">
        <v>114</v>
      </c>
      <c r="M39" s="671"/>
      <c r="N39" s="667"/>
      <c r="O39" s="667"/>
      <c r="P39" s="667" t="s">
        <v>109</v>
      </c>
      <c r="Q39" s="228">
        <f t="shared" si="1"/>
        <v>240000</v>
      </c>
      <c r="R39" s="229">
        <f t="shared" si="6"/>
        <v>0</v>
      </c>
      <c r="S39" s="240">
        <f>SUM(AA39:AC39)</f>
        <v>90000</v>
      </c>
      <c r="T39" s="240">
        <f t="shared" si="12"/>
        <v>0</v>
      </c>
      <c r="U39" s="240">
        <f t="shared" si="13"/>
        <v>50000</v>
      </c>
      <c r="V39" s="241">
        <f t="shared" si="14"/>
        <v>50000</v>
      </c>
      <c r="W39" s="242">
        <f t="shared" si="10"/>
        <v>50000</v>
      </c>
      <c r="X39" s="390"/>
      <c r="Y39" s="391"/>
      <c r="Z39" s="392"/>
      <c r="AA39" s="598"/>
      <c r="AB39" s="599"/>
      <c r="AC39" s="599">
        <v>90000</v>
      </c>
      <c r="AD39" s="600"/>
      <c r="AE39" s="599"/>
      <c r="AF39" s="689">
        <v>0</v>
      </c>
      <c r="AG39" s="600"/>
      <c r="AH39" s="610"/>
      <c r="AI39" s="601">
        <v>50000</v>
      </c>
      <c r="AJ39" s="600"/>
      <c r="AK39" s="599"/>
      <c r="AL39" s="599">
        <v>50000</v>
      </c>
      <c r="AM39" s="607"/>
      <c r="AN39" s="608"/>
      <c r="AO39" s="609">
        <v>50000</v>
      </c>
      <c r="AP39" s="336"/>
      <c r="AQ39" s="669" t="s">
        <v>111</v>
      </c>
      <c r="AR39" s="336"/>
      <c r="AS39" s="223"/>
      <c r="AT39" s="337"/>
    </row>
    <row r="40" spans="1:46" ht="17.649999999999999" customHeight="1" x14ac:dyDescent="0.25">
      <c r="A40" s="665" t="s">
        <v>98</v>
      </c>
      <c r="B40" s="217" t="s">
        <v>124</v>
      </c>
      <c r="C40" s="217" t="s">
        <v>124</v>
      </c>
      <c r="D40" s="218"/>
      <c r="E40" s="218" t="s">
        <v>101</v>
      </c>
      <c r="F40" s="218" t="s">
        <v>118</v>
      </c>
      <c r="G40" s="222" t="s">
        <v>139</v>
      </c>
      <c r="H40" s="218"/>
      <c r="I40" s="218"/>
      <c r="J40" s="217" t="s">
        <v>140</v>
      </c>
      <c r="K40" s="218"/>
      <c r="L40" s="663" t="s">
        <v>114</v>
      </c>
      <c r="M40" s="218"/>
      <c r="N40" s="218"/>
      <c r="O40" s="218"/>
      <c r="P40" s="218" t="s">
        <v>141</v>
      </c>
      <c r="Q40" s="228">
        <f t="shared" si="1"/>
        <v>3811974</v>
      </c>
      <c r="R40" s="229">
        <v>670397</v>
      </c>
      <c r="S40" s="240">
        <v>841236</v>
      </c>
      <c r="T40" s="240">
        <v>869839</v>
      </c>
      <c r="U40" s="240">
        <v>707436</v>
      </c>
      <c r="V40" s="241">
        <v>723066</v>
      </c>
      <c r="W40" s="242">
        <f t="shared" si="10"/>
        <v>0</v>
      </c>
      <c r="X40" s="390">
        <v>520000</v>
      </c>
      <c r="Y40" s="391">
        <v>130780</v>
      </c>
      <c r="Z40" s="392">
        <v>19617</v>
      </c>
      <c r="AA40" s="393">
        <v>609082</v>
      </c>
      <c r="AB40" s="391">
        <v>201873</v>
      </c>
      <c r="AC40" s="391">
        <v>30281</v>
      </c>
      <c r="AD40" s="390">
        <v>626077</v>
      </c>
      <c r="AE40" s="391">
        <v>211967</v>
      </c>
      <c r="AF40" s="392">
        <v>31795</v>
      </c>
      <c r="AG40" s="390">
        <v>451486</v>
      </c>
      <c r="AH40" s="391">
        <v>222565</v>
      </c>
      <c r="AI40" s="392">
        <v>33385</v>
      </c>
      <c r="AJ40" s="390">
        <v>454319</v>
      </c>
      <c r="AK40" s="391">
        <v>233693</v>
      </c>
      <c r="AL40" s="391">
        <v>35054</v>
      </c>
      <c r="AM40" s="394"/>
      <c r="AN40" s="395"/>
      <c r="AO40" s="396"/>
      <c r="AP40" s="336"/>
      <c r="AQ40" s="219" t="s">
        <v>142</v>
      </c>
      <c r="AR40" s="220"/>
      <c r="AS40" s="223"/>
      <c r="AT40" s="337"/>
    </row>
    <row r="41" spans="1:46" s="156" customFormat="1" ht="17.649999999999999" customHeight="1" x14ac:dyDescent="0.25">
      <c r="A41" s="665" t="s">
        <v>98</v>
      </c>
      <c r="B41" s="217" t="s">
        <v>124</v>
      </c>
      <c r="C41" s="217" t="s">
        <v>124</v>
      </c>
      <c r="D41" s="218"/>
      <c r="E41" s="218" t="s">
        <v>101</v>
      </c>
      <c r="F41" s="218" t="s">
        <v>118</v>
      </c>
      <c r="G41" s="222" t="s">
        <v>139</v>
      </c>
      <c r="H41" s="218"/>
      <c r="I41" s="218"/>
      <c r="J41" s="218" t="s">
        <v>143</v>
      </c>
      <c r="K41" s="218"/>
      <c r="L41" s="663" t="s">
        <v>114</v>
      </c>
      <c r="M41" s="218"/>
      <c r="N41" s="218"/>
      <c r="O41" s="218"/>
      <c r="P41" s="218" t="s">
        <v>141</v>
      </c>
      <c r="Q41" s="228">
        <f t="shared" si="1"/>
        <v>9408044</v>
      </c>
      <c r="R41" s="229">
        <v>1345472</v>
      </c>
      <c r="S41" s="240">
        <v>2015643</v>
      </c>
      <c r="T41" s="240">
        <v>2015643</v>
      </c>
      <c r="U41" s="240">
        <v>2015643</v>
      </c>
      <c r="V41" s="240">
        <v>2015643</v>
      </c>
      <c r="W41" s="242">
        <f t="shared" si="10"/>
        <v>0</v>
      </c>
      <c r="X41" s="390">
        <v>1020000</v>
      </c>
      <c r="Y41" s="391">
        <v>281570</v>
      </c>
      <c r="Z41" s="392">
        <f>42236+1664</f>
        <v>43900</v>
      </c>
      <c r="AA41" s="390">
        <v>1597341</v>
      </c>
      <c r="AB41" s="391">
        <v>357682.5</v>
      </c>
      <c r="AC41" s="392">
        <v>60620</v>
      </c>
      <c r="AD41" s="390">
        <v>1597341</v>
      </c>
      <c r="AE41" s="391">
        <v>357682.5</v>
      </c>
      <c r="AF41" s="392">
        <v>60620</v>
      </c>
      <c r="AG41" s="390">
        <v>1597341</v>
      </c>
      <c r="AH41" s="391">
        <v>357682.5</v>
      </c>
      <c r="AI41" s="392">
        <v>60620</v>
      </c>
      <c r="AJ41" s="393">
        <v>1597341</v>
      </c>
      <c r="AK41" s="391">
        <v>357682.5</v>
      </c>
      <c r="AL41" s="391">
        <v>60620</v>
      </c>
      <c r="AM41" s="394"/>
      <c r="AN41" s="395"/>
      <c r="AO41" s="396"/>
      <c r="AP41" s="336"/>
      <c r="AQ41" s="219" t="s">
        <v>142</v>
      </c>
      <c r="AR41" s="220"/>
      <c r="AS41" s="221"/>
      <c r="AT41" s="295"/>
    </row>
    <row r="42" spans="1:46" s="156" customFormat="1" ht="17.649999999999999" customHeight="1" x14ac:dyDescent="0.25">
      <c r="A42" s="665" t="s">
        <v>98</v>
      </c>
      <c r="B42" s="217" t="s">
        <v>124</v>
      </c>
      <c r="C42" s="217" t="s">
        <v>124</v>
      </c>
      <c r="D42" s="218"/>
      <c r="E42" s="218" t="s">
        <v>101</v>
      </c>
      <c r="F42" s="218" t="s">
        <v>118</v>
      </c>
      <c r="G42" s="222" t="s">
        <v>139</v>
      </c>
      <c r="H42" s="218"/>
      <c r="I42" s="218"/>
      <c r="J42" s="218" t="s">
        <v>144</v>
      </c>
      <c r="K42" s="218"/>
      <c r="L42" s="663" t="s">
        <v>114</v>
      </c>
      <c r="M42" s="218"/>
      <c r="N42" s="218"/>
      <c r="O42" s="218"/>
      <c r="P42" s="218" t="s">
        <v>145</v>
      </c>
      <c r="Q42" s="228">
        <f t="shared" ref="Q42:Q43" si="15">SUM(R42:W42)</f>
        <v>3600000</v>
      </c>
      <c r="R42" s="229">
        <f t="shared" ref="R42:R43" si="16">SUM(X42:Z42)</f>
        <v>0</v>
      </c>
      <c r="S42" s="240">
        <f t="shared" ref="S42:S43" si="17">SUM(AA42:AC42)</f>
        <v>3600000</v>
      </c>
      <c r="T42" s="240">
        <f t="shared" ref="T42:T43" si="18">SUM(AD42:AF42)</f>
        <v>0</v>
      </c>
      <c r="U42" s="240">
        <f t="shared" ref="U42:U43" si="19">SUM(AG42:AI42)</f>
        <v>0</v>
      </c>
      <c r="V42" s="241">
        <f t="shared" ref="V42:V43" si="20">SUM(AJ42:AL42)</f>
        <v>0</v>
      </c>
      <c r="W42" s="242">
        <f t="shared" ref="W42:W43" si="21">SUM(AM42:AO42)</f>
        <v>0</v>
      </c>
      <c r="X42" s="390"/>
      <c r="Y42" s="391"/>
      <c r="Z42" s="392"/>
      <c r="AA42" s="393">
        <v>3600000</v>
      </c>
      <c r="AB42" s="391"/>
      <c r="AC42" s="391"/>
      <c r="AD42" s="390"/>
      <c r="AE42" s="391"/>
      <c r="AF42" s="392"/>
      <c r="AG42" s="390"/>
      <c r="AH42" s="391"/>
      <c r="AI42" s="392"/>
      <c r="AJ42" s="390"/>
      <c r="AK42" s="391"/>
      <c r="AL42" s="391"/>
      <c r="AM42" s="394"/>
      <c r="AN42" s="395"/>
      <c r="AO42" s="396"/>
      <c r="AP42" s="336"/>
      <c r="AQ42" s="219"/>
      <c r="AR42" s="220"/>
      <c r="AS42" s="221"/>
      <c r="AT42" s="295"/>
    </row>
    <row r="43" spans="1:46" s="156" customFormat="1" ht="17.649999999999999" customHeight="1" x14ac:dyDescent="0.25">
      <c r="A43" s="272"/>
      <c r="B43" s="217"/>
      <c r="C43" s="217"/>
      <c r="D43" s="218"/>
      <c r="E43" s="218"/>
      <c r="F43" s="218"/>
      <c r="G43" s="222"/>
      <c r="H43" s="218"/>
      <c r="I43" s="218"/>
      <c r="J43" s="218"/>
      <c r="K43" s="218"/>
      <c r="L43" s="663" t="s">
        <v>114</v>
      </c>
      <c r="M43" s="218"/>
      <c r="N43" s="218"/>
      <c r="O43" s="218"/>
      <c r="P43" s="218"/>
      <c r="Q43" s="228">
        <f t="shared" si="15"/>
        <v>0</v>
      </c>
      <c r="R43" s="229">
        <f t="shared" si="16"/>
        <v>0</v>
      </c>
      <c r="S43" s="240">
        <f t="shared" si="17"/>
        <v>0</v>
      </c>
      <c r="T43" s="240">
        <f t="shared" si="18"/>
        <v>0</v>
      </c>
      <c r="U43" s="240">
        <f t="shared" si="19"/>
        <v>0</v>
      </c>
      <c r="V43" s="241">
        <f t="shared" si="20"/>
        <v>0</v>
      </c>
      <c r="W43" s="242">
        <f t="shared" si="21"/>
        <v>0</v>
      </c>
      <c r="X43" s="390"/>
      <c r="Y43" s="391"/>
      <c r="Z43" s="392"/>
      <c r="AA43" s="393"/>
      <c r="AB43" s="391"/>
      <c r="AC43" s="391"/>
      <c r="AD43" s="390"/>
      <c r="AE43" s="391"/>
      <c r="AF43" s="392"/>
      <c r="AG43" s="390"/>
      <c r="AH43" s="391"/>
      <c r="AI43" s="392"/>
      <c r="AJ43" s="390"/>
      <c r="AK43" s="391"/>
      <c r="AL43" s="391"/>
      <c r="AM43" s="394"/>
      <c r="AN43" s="395"/>
      <c r="AO43" s="396"/>
      <c r="AP43" s="336"/>
      <c r="AQ43" s="219"/>
      <c r="AR43" s="220"/>
      <c r="AS43" s="221"/>
      <c r="AT43" s="295"/>
    </row>
    <row r="44" spans="1:46" s="156" customFormat="1" ht="17.649999999999999" customHeight="1" x14ac:dyDescent="0.25">
      <c r="A44" s="324" t="s">
        <v>146</v>
      </c>
      <c r="B44" s="325"/>
      <c r="C44" s="325"/>
      <c r="D44" s="326"/>
      <c r="E44" s="326"/>
      <c r="F44" s="326"/>
      <c r="G44" s="327"/>
      <c r="H44" s="326"/>
      <c r="I44" s="326"/>
      <c r="J44" s="325"/>
      <c r="K44" s="326"/>
      <c r="L44" s="663" t="s">
        <v>114</v>
      </c>
      <c r="M44" s="326"/>
      <c r="N44" s="326"/>
      <c r="O44" s="326"/>
      <c r="P44" s="326"/>
      <c r="Q44" s="328">
        <f t="shared" si="1"/>
        <v>0</v>
      </c>
      <c r="R44" s="329">
        <f t="shared" si="6"/>
        <v>0</v>
      </c>
      <c r="S44" s="330">
        <f t="shared" si="11"/>
        <v>0</v>
      </c>
      <c r="T44" s="330">
        <f t="shared" si="12"/>
        <v>0</v>
      </c>
      <c r="U44" s="330">
        <f t="shared" si="13"/>
        <v>0</v>
      </c>
      <c r="V44" s="331">
        <f t="shared" si="14"/>
        <v>0</v>
      </c>
      <c r="W44" s="332">
        <f t="shared" si="10"/>
        <v>0</v>
      </c>
      <c r="X44" s="397"/>
      <c r="Y44" s="398"/>
      <c r="Z44" s="399"/>
      <c r="AA44" s="400"/>
      <c r="AB44" s="398"/>
      <c r="AC44" s="398"/>
      <c r="AD44" s="397"/>
      <c r="AE44" s="398"/>
      <c r="AF44" s="399"/>
      <c r="AG44" s="397"/>
      <c r="AH44" s="398"/>
      <c r="AI44" s="399"/>
      <c r="AJ44" s="397"/>
      <c r="AK44" s="398"/>
      <c r="AL44" s="398"/>
      <c r="AM44" s="401"/>
      <c r="AN44" s="402"/>
      <c r="AO44" s="403"/>
      <c r="AP44" s="338"/>
      <c r="AQ44" s="333"/>
      <c r="AR44" s="334"/>
      <c r="AS44" s="335"/>
      <c r="AT44" s="339"/>
    </row>
    <row r="45" spans="1:46" ht="17.649999999999999" customHeight="1" x14ac:dyDescent="0.25">
      <c r="A45" s="665" t="s">
        <v>98</v>
      </c>
      <c r="B45" s="672" t="s">
        <v>147</v>
      </c>
      <c r="C45" s="672" t="s">
        <v>147</v>
      </c>
      <c r="D45" s="673" t="s">
        <v>148</v>
      </c>
      <c r="E45" s="673" t="s">
        <v>101</v>
      </c>
      <c r="F45" s="673" t="s">
        <v>149</v>
      </c>
      <c r="G45" s="674" t="s">
        <v>103</v>
      </c>
      <c r="H45" s="674" t="s">
        <v>150</v>
      </c>
      <c r="I45" s="674" t="s">
        <v>151</v>
      </c>
      <c r="J45" s="675" t="s">
        <v>152</v>
      </c>
      <c r="K45" s="674" t="s">
        <v>153</v>
      </c>
      <c r="L45" s="676" t="s">
        <v>114</v>
      </c>
      <c r="M45" s="674"/>
      <c r="N45" s="674" t="s">
        <v>154</v>
      </c>
      <c r="O45" s="674" t="s">
        <v>155</v>
      </c>
      <c r="P45" s="674" t="s">
        <v>109</v>
      </c>
      <c r="Q45" s="228">
        <f>SUM(R45:W45)</f>
        <v>151319</v>
      </c>
      <c r="R45" s="229">
        <f t="shared" si="6"/>
        <v>0</v>
      </c>
      <c r="S45" s="240">
        <f t="shared" si="11"/>
        <v>151319</v>
      </c>
      <c r="T45" s="240">
        <f t="shared" si="12"/>
        <v>0</v>
      </c>
      <c r="U45" s="240">
        <f t="shared" si="13"/>
        <v>0</v>
      </c>
      <c r="V45" s="241">
        <f t="shared" si="14"/>
        <v>0</v>
      </c>
      <c r="W45" s="242">
        <f t="shared" si="10"/>
        <v>0</v>
      </c>
      <c r="X45" s="404"/>
      <c r="Y45" s="405"/>
      <c r="Z45" s="396"/>
      <c r="AA45" s="611">
        <v>125000</v>
      </c>
      <c r="AB45" s="612">
        <v>26319</v>
      </c>
      <c r="AC45" s="612"/>
      <c r="AD45" s="613"/>
      <c r="AE45" s="612"/>
      <c r="AF45" s="609"/>
      <c r="AG45" s="613"/>
      <c r="AH45" s="612"/>
      <c r="AI45" s="609"/>
      <c r="AJ45" s="613"/>
      <c r="AK45" s="612"/>
      <c r="AL45" s="612"/>
      <c r="AM45" s="607"/>
      <c r="AN45" s="608"/>
      <c r="AO45" s="609"/>
      <c r="AP45" s="340" t="s">
        <v>156</v>
      </c>
      <c r="AQ45" s="669" t="s">
        <v>111</v>
      </c>
      <c r="AR45" s="340"/>
      <c r="AS45" s="223"/>
      <c r="AT45" s="337"/>
    </row>
    <row r="46" spans="1:46" ht="17.649999999999999" customHeight="1" x14ac:dyDescent="0.25">
      <c r="A46" s="665" t="s">
        <v>98</v>
      </c>
      <c r="B46" s="672" t="s">
        <v>147</v>
      </c>
      <c r="C46" s="672" t="s">
        <v>147</v>
      </c>
      <c r="D46" s="673" t="s">
        <v>148</v>
      </c>
      <c r="E46" s="673" t="s">
        <v>101</v>
      </c>
      <c r="F46" s="673" t="s">
        <v>157</v>
      </c>
      <c r="G46" s="674" t="s">
        <v>103</v>
      </c>
      <c r="H46" s="674" t="s">
        <v>150</v>
      </c>
      <c r="I46" s="674" t="s">
        <v>158</v>
      </c>
      <c r="J46" s="675" t="s">
        <v>725</v>
      </c>
      <c r="K46" s="674" t="s">
        <v>159</v>
      </c>
      <c r="L46" s="676" t="s">
        <v>114</v>
      </c>
      <c r="M46" s="674"/>
      <c r="N46" s="674" t="s">
        <v>154</v>
      </c>
      <c r="O46" s="674" t="s">
        <v>160</v>
      </c>
      <c r="P46" s="674" t="s">
        <v>109</v>
      </c>
      <c r="Q46" s="228">
        <f t="shared" si="1"/>
        <v>1324689</v>
      </c>
      <c r="R46" s="229">
        <f t="shared" si="6"/>
        <v>0</v>
      </c>
      <c r="S46" s="240">
        <f t="shared" si="11"/>
        <v>258846</v>
      </c>
      <c r="T46" s="240">
        <f t="shared" si="12"/>
        <v>585450</v>
      </c>
      <c r="U46" s="240">
        <f t="shared" si="13"/>
        <v>480393</v>
      </c>
      <c r="V46" s="241">
        <f t="shared" si="14"/>
        <v>0</v>
      </c>
      <c r="W46" s="242">
        <f t="shared" si="10"/>
        <v>0</v>
      </c>
      <c r="X46" s="404"/>
      <c r="Y46" s="405"/>
      <c r="Z46" s="396"/>
      <c r="AA46" s="611">
        <v>201300</v>
      </c>
      <c r="AB46" s="612">
        <v>57546</v>
      </c>
      <c r="AC46" s="612"/>
      <c r="AD46" s="613">
        <v>502200</v>
      </c>
      <c r="AE46" s="682">
        <v>83250</v>
      </c>
      <c r="AF46" s="609"/>
      <c r="AG46" s="613">
        <v>428580</v>
      </c>
      <c r="AH46" s="612">
        <v>51813</v>
      </c>
      <c r="AI46" s="609"/>
      <c r="AJ46" s="613"/>
      <c r="AK46" s="612"/>
      <c r="AL46" s="612"/>
      <c r="AM46" s="607"/>
      <c r="AN46" s="608"/>
      <c r="AO46" s="609"/>
      <c r="AP46" s="340" t="s">
        <v>161</v>
      </c>
      <c r="AQ46" s="669" t="s">
        <v>142</v>
      </c>
      <c r="AR46" s="340" t="s">
        <v>162</v>
      </c>
      <c r="AS46" s="223"/>
      <c r="AT46" s="337"/>
    </row>
    <row r="47" spans="1:46" ht="17.649999999999999" customHeight="1" x14ac:dyDescent="0.25">
      <c r="A47" s="665" t="s">
        <v>98</v>
      </c>
      <c r="B47" s="672" t="s">
        <v>147</v>
      </c>
      <c r="C47" s="672" t="s">
        <v>147</v>
      </c>
      <c r="D47" s="673" t="s">
        <v>148</v>
      </c>
      <c r="E47" s="673" t="s">
        <v>101</v>
      </c>
      <c r="F47" s="674" t="s">
        <v>163</v>
      </c>
      <c r="G47" s="674" t="s">
        <v>127</v>
      </c>
      <c r="H47" s="674" t="s">
        <v>150</v>
      </c>
      <c r="I47" s="675" t="s">
        <v>164</v>
      </c>
      <c r="J47" s="675" t="s">
        <v>152</v>
      </c>
      <c r="K47" s="675" t="s">
        <v>165</v>
      </c>
      <c r="L47" s="677" t="s">
        <v>166</v>
      </c>
      <c r="M47" s="674"/>
      <c r="N47" s="674" t="s">
        <v>154</v>
      </c>
      <c r="O47" s="674"/>
      <c r="P47" s="673" t="s">
        <v>109</v>
      </c>
      <c r="Q47" s="228">
        <f t="shared" si="1"/>
        <v>10000</v>
      </c>
      <c r="R47" s="229">
        <f t="shared" si="6"/>
        <v>0</v>
      </c>
      <c r="S47" s="240">
        <f t="shared" si="11"/>
        <v>0</v>
      </c>
      <c r="T47" s="240">
        <f t="shared" si="12"/>
        <v>0</v>
      </c>
      <c r="U47" s="240">
        <f t="shared" si="13"/>
        <v>10000</v>
      </c>
      <c r="V47" s="241">
        <f t="shared" si="14"/>
        <v>0</v>
      </c>
      <c r="W47" s="242">
        <f t="shared" si="10"/>
        <v>0</v>
      </c>
      <c r="X47" s="404"/>
      <c r="Y47" s="405"/>
      <c r="Z47" s="396"/>
      <c r="AA47" s="611"/>
      <c r="AB47" s="612"/>
      <c r="AC47" s="609"/>
      <c r="AD47" s="611"/>
      <c r="AE47" s="612"/>
      <c r="AF47" s="609"/>
      <c r="AG47" s="611">
        <v>10000</v>
      </c>
      <c r="AH47" s="612"/>
      <c r="AI47" s="609"/>
      <c r="AJ47" s="611"/>
      <c r="AK47" s="612"/>
      <c r="AL47" s="612"/>
      <c r="AM47" s="607"/>
      <c r="AN47" s="608"/>
      <c r="AO47" s="609"/>
      <c r="AP47" s="340" t="s">
        <v>156</v>
      </c>
      <c r="AQ47" s="669" t="s">
        <v>111</v>
      </c>
      <c r="AR47" s="340"/>
      <c r="AS47" s="223"/>
      <c r="AT47" s="337"/>
    </row>
    <row r="48" spans="1:46" ht="17.649999999999999" customHeight="1" x14ac:dyDescent="0.25">
      <c r="A48" s="665" t="s">
        <v>98</v>
      </c>
      <c r="B48" s="672" t="s">
        <v>147</v>
      </c>
      <c r="C48" s="672" t="s">
        <v>147</v>
      </c>
      <c r="D48" s="673" t="s">
        <v>148</v>
      </c>
      <c r="E48" s="673" t="s">
        <v>101</v>
      </c>
      <c r="F48" s="674" t="s">
        <v>157</v>
      </c>
      <c r="G48" s="678" t="s">
        <v>103</v>
      </c>
      <c r="H48" s="674" t="s">
        <v>150</v>
      </c>
      <c r="I48" s="675" t="s">
        <v>167</v>
      </c>
      <c r="J48" s="675" t="s">
        <v>152</v>
      </c>
      <c r="K48" s="675">
        <v>2027</v>
      </c>
      <c r="L48" s="677" t="s">
        <v>166</v>
      </c>
      <c r="M48" s="674"/>
      <c r="N48" s="674" t="s">
        <v>154</v>
      </c>
      <c r="O48" s="674" t="s">
        <v>160</v>
      </c>
      <c r="P48" s="673" t="s">
        <v>109</v>
      </c>
      <c r="Q48" s="228">
        <f t="shared" si="1"/>
        <v>383199</v>
      </c>
      <c r="R48" s="229">
        <f t="shared" si="6"/>
        <v>0</v>
      </c>
      <c r="S48" s="240">
        <f t="shared" si="11"/>
        <v>0</v>
      </c>
      <c r="T48" s="240">
        <f t="shared" si="12"/>
        <v>0</v>
      </c>
      <c r="U48" s="240">
        <f t="shared" si="13"/>
        <v>0</v>
      </c>
      <c r="V48" s="241">
        <f t="shared" si="14"/>
        <v>383199</v>
      </c>
      <c r="W48" s="242">
        <f t="shared" si="10"/>
        <v>0</v>
      </c>
      <c r="X48" s="404"/>
      <c r="Y48" s="405"/>
      <c r="Z48" s="396"/>
      <c r="AA48" s="611"/>
      <c r="AB48" s="612"/>
      <c r="AC48" s="609"/>
      <c r="AD48" s="611"/>
      <c r="AE48" s="612"/>
      <c r="AF48" s="609"/>
      <c r="AG48" s="611"/>
      <c r="AH48" s="612"/>
      <c r="AI48" s="609"/>
      <c r="AJ48" s="611">
        <v>300800</v>
      </c>
      <c r="AK48" s="612">
        <v>82399</v>
      </c>
      <c r="AL48" s="612"/>
      <c r="AM48" s="607"/>
      <c r="AN48" s="608"/>
      <c r="AO48" s="609"/>
      <c r="AP48" s="340" t="s">
        <v>156</v>
      </c>
      <c r="AQ48" s="669" t="s">
        <v>142</v>
      </c>
      <c r="AR48" s="340" t="s">
        <v>162</v>
      </c>
      <c r="AS48" s="223"/>
      <c r="AT48" s="337"/>
    </row>
    <row r="49" spans="1:46" ht="17.649999999999999" customHeight="1" x14ac:dyDescent="0.25">
      <c r="A49" s="665" t="s">
        <v>98</v>
      </c>
      <c r="B49" s="672" t="s">
        <v>147</v>
      </c>
      <c r="C49" s="672" t="s">
        <v>147</v>
      </c>
      <c r="D49" s="673" t="s">
        <v>148</v>
      </c>
      <c r="E49" s="673" t="s">
        <v>101</v>
      </c>
      <c r="F49" s="674" t="s">
        <v>149</v>
      </c>
      <c r="G49" s="678" t="s">
        <v>103</v>
      </c>
      <c r="H49" s="674" t="s">
        <v>168</v>
      </c>
      <c r="I49" s="675" t="s">
        <v>169</v>
      </c>
      <c r="J49" s="675" t="s">
        <v>726</v>
      </c>
      <c r="K49" s="675" t="s">
        <v>171</v>
      </c>
      <c r="L49" s="677" t="s">
        <v>114</v>
      </c>
      <c r="M49" s="674"/>
      <c r="N49" s="674" t="s">
        <v>172</v>
      </c>
      <c r="O49" s="674" t="s">
        <v>160</v>
      </c>
      <c r="P49" s="673" t="s">
        <v>109</v>
      </c>
      <c r="Q49" s="228">
        <f t="shared" si="1"/>
        <v>894679</v>
      </c>
      <c r="R49" s="229">
        <f t="shared" si="6"/>
        <v>0</v>
      </c>
      <c r="S49" s="240">
        <f t="shared" si="11"/>
        <v>380501</v>
      </c>
      <c r="T49" s="240">
        <f t="shared" si="12"/>
        <v>467410</v>
      </c>
      <c r="U49" s="240">
        <f t="shared" si="13"/>
        <v>33798</v>
      </c>
      <c r="V49" s="241">
        <f t="shared" si="14"/>
        <v>12970</v>
      </c>
      <c r="W49" s="242">
        <f t="shared" si="10"/>
        <v>0</v>
      </c>
      <c r="X49" s="404"/>
      <c r="Y49" s="405"/>
      <c r="Z49" s="396"/>
      <c r="AA49" s="611">
        <v>327800</v>
      </c>
      <c r="AB49" s="682">
        <v>52701</v>
      </c>
      <c r="AC49" s="609"/>
      <c r="AD49" s="611">
        <v>423360</v>
      </c>
      <c r="AE49" s="682">
        <v>44050</v>
      </c>
      <c r="AF49" s="609"/>
      <c r="AG49" s="611"/>
      <c r="AH49" s="612">
        <v>33798</v>
      </c>
      <c r="AI49" s="609"/>
      <c r="AJ49" s="611"/>
      <c r="AK49" s="612">
        <v>12970</v>
      </c>
      <c r="AL49" s="612"/>
      <c r="AM49" s="607"/>
      <c r="AN49" s="608"/>
      <c r="AO49" s="609"/>
      <c r="AP49" s="340" t="s">
        <v>156</v>
      </c>
      <c r="AQ49" s="669" t="s">
        <v>142</v>
      </c>
      <c r="AR49" s="340" t="s">
        <v>173</v>
      </c>
      <c r="AS49" s="223"/>
      <c r="AT49" s="337"/>
    </row>
    <row r="50" spans="1:46" ht="17.649999999999999" customHeight="1" x14ac:dyDescent="0.25">
      <c r="A50" s="665" t="s">
        <v>98</v>
      </c>
      <c r="B50" s="672" t="s">
        <v>147</v>
      </c>
      <c r="C50" s="672" t="s">
        <v>147</v>
      </c>
      <c r="D50" s="673" t="s">
        <v>148</v>
      </c>
      <c r="E50" s="673" t="s">
        <v>101</v>
      </c>
      <c r="F50" s="674" t="s">
        <v>163</v>
      </c>
      <c r="G50" s="678" t="s">
        <v>103</v>
      </c>
      <c r="H50" s="674" t="s">
        <v>174</v>
      </c>
      <c r="I50" s="675" t="s">
        <v>175</v>
      </c>
      <c r="J50" s="675" t="s">
        <v>727</v>
      </c>
      <c r="K50" s="675" t="s">
        <v>177</v>
      </c>
      <c r="L50" s="677" t="s">
        <v>114</v>
      </c>
      <c r="M50" s="674"/>
      <c r="N50" s="674" t="s">
        <v>178</v>
      </c>
      <c r="O50" s="674" t="s">
        <v>160</v>
      </c>
      <c r="P50" s="673" t="s">
        <v>109</v>
      </c>
      <c r="Q50" s="228">
        <f t="shared" si="1"/>
        <v>1729672</v>
      </c>
      <c r="R50" s="229">
        <f t="shared" ref="R50:R60" si="22">SUM(X50:Z50)</f>
        <v>0</v>
      </c>
      <c r="S50" s="240">
        <f t="shared" ref="S50:S60" si="23">SUM(AA50:AC50)</f>
        <v>556173</v>
      </c>
      <c r="T50" s="240">
        <f t="shared" ref="T50:T60" si="24">SUM(AD50:AF50)</f>
        <v>768140</v>
      </c>
      <c r="U50" s="240">
        <f t="shared" ref="U50:U60" si="25">SUM(AG50:AI50)</f>
        <v>405359</v>
      </c>
      <c r="V50" s="241">
        <f t="shared" ref="V50:V60" si="26">SUM(AJ50:AL50)</f>
        <v>0</v>
      </c>
      <c r="W50" s="242">
        <f t="shared" ref="W50:W60" si="27">SUM(AM50:AO50)</f>
        <v>0</v>
      </c>
      <c r="X50" s="404"/>
      <c r="Y50" s="405"/>
      <c r="Z50" s="396"/>
      <c r="AA50" s="611">
        <v>500000</v>
      </c>
      <c r="AB50" s="612">
        <v>56173</v>
      </c>
      <c r="AC50" s="612"/>
      <c r="AD50" s="614">
        <v>702200</v>
      </c>
      <c r="AE50" s="683">
        <v>65940</v>
      </c>
      <c r="AF50" s="616"/>
      <c r="AG50" s="614">
        <v>331540</v>
      </c>
      <c r="AH50" s="615">
        <v>73819</v>
      </c>
      <c r="AI50" s="616">
        <v>0</v>
      </c>
      <c r="AJ50" s="614"/>
      <c r="AK50" s="615"/>
      <c r="AL50" s="617">
        <v>0</v>
      </c>
      <c r="AM50" s="614"/>
      <c r="AN50" s="615"/>
      <c r="AO50" s="616"/>
      <c r="AP50" s="340" t="s">
        <v>179</v>
      </c>
      <c r="AQ50" s="669" t="s">
        <v>142</v>
      </c>
      <c r="AR50" s="340" t="s">
        <v>173</v>
      </c>
      <c r="AS50" s="223"/>
      <c r="AT50" s="337"/>
    </row>
    <row r="51" spans="1:46" ht="17.649999999999999" customHeight="1" x14ac:dyDescent="0.25">
      <c r="A51" s="665" t="s">
        <v>98</v>
      </c>
      <c r="B51" s="672" t="s">
        <v>180</v>
      </c>
      <c r="C51" s="672" t="s">
        <v>180</v>
      </c>
      <c r="D51" s="673" t="s">
        <v>181</v>
      </c>
      <c r="E51" s="673" t="s">
        <v>101</v>
      </c>
      <c r="F51" s="674" t="s">
        <v>149</v>
      </c>
      <c r="G51" s="678" t="s">
        <v>103</v>
      </c>
      <c r="H51" s="674" t="s">
        <v>182</v>
      </c>
      <c r="I51" s="675" t="s">
        <v>183</v>
      </c>
      <c r="J51" s="675" t="s">
        <v>184</v>
      </c>
      <c r="K51" s="675" t="s">
        <v>185</v>
      </c>
      <c r="L51" s="677" t="s">
        <v>114</v>
      </c>
      <c r="M51" s="674"/>
      <c r="N51" s="674" t="s">
        <v>186</v>
      </c>
      <c r="O51" s="674"/>
      <c r="P51" s="673" t="s">
        <v>109</v>
      </c>
      <c r="Q51" s="228">
        <f t="shared" si="1"/>
        <v>838655</v>
      </c>
      <c r="R51" s="229">
        <f t="shared" si="22"/>
        <v>0</v>
      </c>
      <c r="S51" s="240">
        <f t="shared" si="23"/>
        <v>79666</v>
      </c>
      <c r="T51" s="240">
        <f t="shared" si="24"/>
        <v>407975</v>
      </c>
      <c r="U51" s="240">
        <f t="shared" si="25"/>
        <v>267030</v>
      </c>
      <c r="V51" s="241">
        <f t="shared" si="26"/>
        <v>83984</v>
      </c>
      <c r="W51" s="242">
        <f t="shared" si="27"/>
        <v>0</v>
      </c>
      <c r="X51" s="404"/>
      <c r="Y51" s="405"/>
      <c r="Z51" s="396"/>
      <c r="AA51" s="611">
        <v>30500</v>
      </c>
      <c r="AB51" s="612">
        <v>49166</v>
      </c>
      <c r="AC51" s="612"/>
      <c r="AD51" s="614">
        <v>338500</v>
      </c>
      <c r="AE51" s="683">
        <v>69475</v>
      </c>
      <c r="AF51" s="616"/>
      <c r="AG51" s="614">
        <v>202160</v>
      </c>
      <c r="AH51" s="615">
        <v>64870</v>
      </c>
      <c r="AI51" s="616"/>
      <c r="AJ51" s="614">
        <v>50350</v>
      </c>
      <c r="AK51" s="615">
        <v>33634</v>
      </c>
      <c r="AL51" s="617"/>
      <c r="AM51" s="614"/>
      <c r="AN51" s="615"/>
      <c r="AO51" s="616"/>
      <c r="AP51" s="340" t="s">
        <v>187</v>
      </c>
      <c r="AQ51" s="669" t="s">
        <v>142</v>
      </c>
      <c r="AR51" s="340" t="s">
        <v>188</v>
      </c>
      <c r="AS51" s="223"/>
      <c r="AT51" s="337"/>
    </row>
    <row r="52" spans="1:46" ht="17.649999999999999" customHeight="1" x14ac:dyDescent="0.25">
      <c r="A52" s="665" t="s">
        <v>98</v>
      </c>
      <c r="B52" s="672" t="s">
        <v>189</v>
      </c>
      <c r="C52" s="672" t="s">
        <v>189</v>
      </c>
      <c r="D52" s="673" t="s">
        <v>190</v>
      </c>
      <c r="E52" s="673" t="s">
        <v>101</v>
      </c>
      <c r="F52" s="674" t="s">
        <v>149</v>
      </c>
      <c r="G52" s="678" t="s">
        <v>103</v>
      </c>
      <c r="H52" s="674"/>
      <c r="I52" s="675" t="s">
        <v>191</v>
      </c>
      <c r="J52" s="675" t="s">
        <v>192</v>
      </c>
      <c r="K52" s="675" t="s">
        <v>193</v>
      </c>
      <c r="L52" s="677" t="s">
        <v>114</v>
      </c>
      <c r="M52" s="674"/>
      <c r="N52" s="674" t="s">
        <v>194</v>
      </c>
      <c r="O52" s="674"/>
      <c r="P52" s="673" t="s">
        <v>109</v>
      </c>
      <c r="Q52" s="228">
        <f t="shared" si="1"/>
        <v>544587</v>
      </c>
      <c r="R52" s="229">
        <f t="shared" si="22"/>
        <v>0</v>
      </c>
      <c r="S52" s="240">
        <f t="shared" si="23"/>
        <v>235767</v>
      </c>
      <c r="T52" s="240">
        <f t="shared" si="24"/>
        <v>295290</v>
      </c>
      <c r="U52" s="240">
        <f t="shared" si="25"/>
        <v>10240</v>
      </c>
      <c r="V52" s="241">
        <f t="shared" si="26"/>
        <v>3290</v>
      </c>
      <c r="W52" s="242">
        <f t="shared" si="27"/>
        <v>0</v>
      </c>
      <c r="X52" s="404"/>
      <c r="Y52" s="405"/>
      <c r="Z52" s="396"/>
      <c r="AA52" s="611">
        <v>157040</v>
      </c>
      <c r="AB52" s="612">
        <v>78727</v>
      </c>
      <c r="AC52" s="612"/>
      <c r="AD52" s="614">
        <v>193870</v>
      </c>
      <c r="AE52" s="683">
        <v>101420</v>
      </c>
      <c r="AF52" s="616"/>
      <c r="AG52" s="614">
        <v>10240</v>
      </c>
      <c r="AH52" s="615"/>
      <c r="AI52" s="616"/>
      <c r="AJ52" s="614">
        <v>3290</v>
      </c>
      <c r="AK52" s="615"/>
      <c r="AL52" s="617"/>
      <c r="AM52" s="614"/>
      <c r="AN52" s="615"/>
      <c r="AO52" s="616"/>
      <c r="AP52" s="340" t="s">
        <v>195</v>
      </c>
      <c r="AQ52" s="669" t="s">
        <v>142</v>
      </c>
      <c r="AR52" s="340" t="s">
        <v>196</v>
      </c>
      <c r="AS52" s="223"/>
      <c r="AT52" s="337"/>
    </row>
    <row r="53" spans="1:46" ht="17.649999999999999" customHeight="1" x14ac:dyDescent="0.25">
      <c r="A53" s="665" t="s">
        <v>98</v>
      </c>
      <c r="B53" s="672" t="s">
        <v>189</v>
      </c>
      <c r="C53" s="672" t="s">
        <v>189</v>
      </c>
      <c r="D53" s="673" t="s">
        <v>190</v>
      </c>
      <c r="E53" s="673" t="s">
        <v>101</v>
      </c>
      <c r="F53" s="674" t="s">
        <v>149</v>
      </c>
      <c r="G53" s="678" t="s">
        <v>103</v>
      </c>
      <c r="H53" s="674"/>
      <c r="I53" s="675" t="s">
        <v>197</v>
      </c>
      <c r="J53" s="675" t="s">
        <v>198</v>
      </c>
      <c r="K53" s="675" t="s">
        <v>199</v>
      </c>
      <c r="L53" s="677" t="s">
        <v>114</v>
      </c>
      <c r="M53" s="674"/>
      <c r="N53" s="674" t="s">
        <v>200</v>
      </c>
      <c r="O53" s="674"/>
      <c r="P53" s="673" t="s">
        <v>109</v>
      </c>
      <c r="Q53" s="228">
        <f t="shared" si="1"/>
        <v>622786</v>
      </c>
      <c r="R53" s="229">
        <f t="shared" si="22"/>
        <v>0</v>
      </c>
      <c r="S53" s="240">
        <f t="shared" si="23"/>
        <v>370870</v>
      </c>
      <c r="T53" s="240">
        <f t="shared" si="24"/>
        <v>176816</v>
      </c>
      <c r="U53" s="240">
        <f t="shared" si="25"/>
        <v>37250</v>
      </c>
      <c r="V53" s="241">
        <f t="shared" si="26"/>
        <v>37850</v>
      </c>
      <c r="W53" s="242">
        <f t="shared" si="27"/>
        <v>0</v>
      </c>
      <c r="X53" s="404"/>
      <c r="Y53" s="405"/>
      <c r="Z53" s="396"/>
      <c r="AA53" s="611">
        <v>323840</v>
      </c>
      <c r="AB53" s="684">
        <v>47030</v>
      </c>
      <c r="AC53" s="612"/>
      <c r="AD53" s="614">
        <v>149896</v>
      </c>
      <c r="AE53" s="683">
        <v>26920</v>
      </c>
      <c r="AF53" s="616"/>
      <c r="AG53" s="614">
        <v>37250</v>
      </c>
      <c r="AH53" s="615"/>
      <c r="AI53" s="616"/>
      <c r="AJ53" s="614">
        <v>37850</v>
      </c>
      <c r="AK53" s="615"/>
      <c r="AL53" s="617"/>
      <c r="AM53" s="614"/>
      <c r="AN53" s="615"/>
      <c r="AO53" s="616"/>
      <c r="AP53" s="340" t="s">
        <v>201</v>
      </c>
      <c r="AQ53" s="669" t="s">
        <v>142</v>
      </c>
      <c r="AR53" s="340" t="s">
        <v>202</v>
      </c>
      <c r="AS53" s="223"/>
      <c r="AT53" s="337"/>
    </row>
    <row r="54" spans="1:46" s="156" customFormat="1" ht="17.649999999999999" customHeight="1" x14ac:dyDescent="0.25">
      <c r="A54" s="665" t="s">
        <v>98</v>
      </c>
      <c r="B54" s="325" t="s">
        <v>124</v>
      </c>
      <c r="C54" s="325" t="s">
        <v>124</v>
      </c>
      <c r="D54" s="326"/>
      <c r="E54" s="326"/>
      <c r="F54" s="327" t="s">
        <v>118</v>
      </c>
      <c r="G54" s="419" t="s">
        <v>139</v>
      </c>
      <c r="H54" s="327"/>
      <c r="I54" s="418"/>
      <c r="J54" s="418" t="s">
        <v>203</v>
      </c>
      <c r="K54" s="418"/>
      <c r="L54" s="664" t="s">
        <v>114</v>
      </c>
      <c r="M54" s="327"/>
      <c r="N54" s="327"/>
      <c r="O54" s="327"/>
      <c r="P54" s="326" t="s">
        <v>145</v>
      </c>
      <c r="Q54" s="228">
        <f t="shared" si="1"/>
        <v>100000</v>
      </c>
      <c r="R54" s="229">
        <f t="shared" si="22"/>
        <v>0</v>
      </c>
      <c r="S54" s="240">
        <f t="shared" si="23"/>
        <v>100000</v>
      </c>
      <c r="T54" s="240">
        <f t="shared" si="24"/>
        <v>0</v>
      </c>
      <c r="U54" s="240">
        <f t="shared" si="25"/>
        <v>0</v>
      </c>
      <c r="V54" s="241">
        <f t="shared" si="26"/>
        <v>0</v>
      </c>
      <c r="W54" s="242">
        <f t="shared" si="27"/>
        <v>0</v>
      </c>
      <c r="X54" s="404"/>
      <c r="Y54" s="405"/>
      <c r="Z54" s="396"/>
      <c r="AA54" s="406">
        <v>100000</v>
      </c>
      <c r="AB54" s="405"/>
      <c r="AC54" s="405"/>
      <c r="AD54" s="411"/>
      <c r="AE54" s="412"/>
      <c r="AF54" s="413"/>
      <c r="AG54" s="411"/>
      <c r="AH54" s="412"/>
      <c r="AI54" s="413"/>
      <c r="AJ54" s="411"/>
      <c r="AK54" s="412"/>
      <c r="AL54" s="414"/>
      <c r="AM54" s="411"/>
      <c r="AN54" s="412"/>
      <c r="AO54" s="413"/>
      <c r="AP54" s="340"/>
      <c r="AQ54" s="219"/>
      <c r="AR54" s="224"/>
      <c r="AS54" s="221"/>
      <c r="AT54" s="295"/>
    </row>
    <row r="55" spans="1:46" s="156" customFormat="1" ht="17.649999999999999" customHeight="1" x14ac:dyDescent="0.25">
      <c r="A55" s="665" t="s">
        <v>98</v>
      </c>
      <c r="B55" s="325" t="s">
        <v>124</v>
      </c>
      <c r="C55" s="325" t="s">
        <v>124</v>
      </c>
      <c r="D55" s="326"/>
      <c r="E55" s="326"/>
      <c r="F55" s="327" t="s">
        <v>118</v>
      </c>
      <c r="G55" s="419" t="s">
        <v>139</v>
      </c>
      <c r="H55" s="327"/>
      <c r="I55" s="418"/>
      <c r="J55" s="418" t="s">
        <v>204</v>
      </c>
      <c r="K55" s="418"/>
      <c r="L55" s="664" t="s">
        <v>114</v>
      </c>
      <c r="M55" s="327"/>
      <c r="N55" s="327"/>
      <c r="O55" s="327"/>
      <c r="P55" s="326" t="s">
        <v>141</v>
      </c>
      <c r="Q55" s="228">
        <f t="shared" ref="Q55" si="28">SUM(R55:W55)</f>
        <v>3739373</v>
      </c>
      <c r="R55" s="229">
        <f t="shared" ref="R55" si="29">SUM(X55:Z55)</f>
        <v>0</v>
      </c>
      <c r="S55" s="240">
        <f t="shared" ref="S55" si="30">SUM(AA55:AC55)</f>
        <v>3739373</v>
      </c>
      <c r="T55" s="240">
        <f t="shared" ref="T55" si="31">SUM(AD55:AF55)</f>
        <v>0</v>
      </c>
      <c r="U55" s="240">
        <f t="shared" ref="U55" si="32">SUM(AG55:AI55)</f>
        <v>0</v>
      </c>
      <c r="V55" s="241">
        <f t="shared" ref="V55" si="33">SUM(AJ55:AL55)</f>
        <v>0</v>
      </c>
      <c r="W55" s="242">
        <f t="shared" ref="W55" si="34">SUM(AM55:AO55)</f>
        <v>0</v>
      </c>
      <c r="X55" s="404"/>
      <c r="Y55" s="405"/>
      <c r="Z55" s="396"/>
      <c r="AA55" s="406">
        <v>2675506</v>
      </c>
      <c r="AB55" s="405">
        <v>1063867</v>
      </c>
      <c r="AC55" s="405"/>
      <c r="AD55" s="411"/>
      <c r="AE55" s="412"/>
      <c r="AF55" s="413"/>
      <c r="AG55" s="411"/>
      <c r="AH55" s="412"/>
      <c r="AI55" s="413"/>
      <c r="AJ55" s="411"/>
      <c r="AK55" s="412"/>
      <c r="AL55" s="414"/>
      <c r="AM55" s="411"/>
      <c r="AN55" s="412"/>
      <c r="AO55" s="413"/>
      <c r="AP55" s="340"/>
      <c r="AQ55" s="219"/>
      <c r="AR55" s="224"/>
      <c r="AS55" s="221"/>
      <c r="AT55" s="295"/>
    </row>
    <row r="56" spans="1:46" ht="17.649999999999999" customHeight="1" x14ac:dyDescent="0.25">
      <c r="A56" s="665" t="s">
        <v>98</v>
      </c>
      <c r="B56" s="672" t="s">
        <v>124</v>
      </c>
      <c r="C56" s="672" t="s">
        <v>124</v>
      </c>
      <c r="D56" s="673" t="s">
        <v>205</v>
      </c>
      <c r="E56" s="673" t="s">
        <v>101</v>
      </c>
      <c r="F56" s="674" t="s">
        <v>206</v>
      </c>
      <c r="G56" s="678" t="s">
        <v>103</v>
      </c>
      <c r="H56" s="674"/>
      <c r="I56" s="675" t="s">
        <v>207</v>
      </c>
      <c r="J56" s="675" t="s">
        <v>208</v>
      </c>
      <c r="K56" s="675" t="s">
        <v>209</v>
      </c>
      <c r="L56" s="677" t="s">
        <v>114</v>
      </c>
      <c r="M56" s="674"/>
      <c r="N56" s="674" t="s">
        <v>210</v>
      </c>
      <c r="O56" s="674" t="s">
        <v>211</v>
      </c>
      <c r="P56" s="673" t="s">
        <v>109</v>
      </c>
      <c r="Q56" s="228">
        <f t="shared" si="1"/>
        <v>1411500</v>
      </c>
      <c r="R56" s="229">
        <f t="shared" si="22"/>
        <v>0</v>
      </c>
      <c r="S56" s="240">
        <f t="shared" si="23"/>
        <v>600000</v>
      </c>
      <c r="T56" s="240">
        <f t="shared" si="24"/>
        <v>300000</v>
      </c>
      <c r="U56" s="240">
        <f t="shared" si="25"/>
        <v>511500</v>
      </c>
      <c r="V56" s="241">
        <f t="shared" si="26"/>
        <v>0</v>
      </c>
      <c r="W56" s="242">
        <f t="shared" si="27"/>
        <v>0</v>
      </c>
      <c r="X56" s="404">
        <v>0</v>
      </c>
      <c r="Y56" s="405">
        <v>0</v>
      </c>
      <c r="Z56" s="396">
        <v>0</v>
      </c>
      <c r="AA56" s="611">
        <v>600000</v>
      </c>
      <c r="AB56" s="612"/>
      <c r="AC56" s="612">
        <v>0</v>
      </c>
      <c r="AD56" s="614">
        <v>300000</v>
      </c>
      <c r="AE56" s="615">
        <v>0</v>
      </c>
      <c r="AF56" s="616">
        <v>0</v>
      </c>
      <c r="AG56" s="614">
        <f>400000+65000+46500</f>
        <v>511500</v>
      </c>
      <c r="AH56" s="615">
        <v>0</v>
      </c>
      <c r="AI56" s="616">
        <v>0</v>
      </c>
      <c r="AJ56" s="614">
        <v>0</v>
      </c>
      <c r="AK56" s="615">
        <v>0</v>
      </c>
      <c r="AL56" s="617">
        <v>0</v>
      </c>
      <c r="AM56" s="614"/>
      <c r="AN56" s="615"/>
      <c r="AO56" s="616"/>
      <c r="AP56" s="340"/>
      <c r="AQ56" s="669" t="s">
        <v>142</v>
      </c>
      <c r="AR56" s="340" t="s">
        <v>212</v>
      </c>
      <c r="AS56" s="223"/>
      <c r="AT56" s="337"/>
    </row>
    <row r="57" spans="1:46" ht="17.649999999999999" customHeight="1" x14ac:dyDescent="0.25">
      <c r="A57" s="665" t="s">
        <v>98</v>
      </c>
      <c r="B57" s="672" t="s">
        <v>98</v>
      </c>
      <c r="C57" s="672" t="s">
        <v>98</v>
      </c>
      <c r="D57" s="673" t="s">
        <v>135</v>
      </c>
      <c r="E57" s="673" t="s">
        <v>101</v>
      </c>
      <c r="F57" s="674" t="s">
        <v>163</v>
      </c>
      <c r="G57" s="678" t="s">
        <v>139</v>
      </c>
      <c r="H57" s="674"/>
      <c r="I57" s="675" t="s">
        <v>213</v>
      </c>
      <c r="J57" s="675" t="s">
        <v>214</v>
      </c>
      <c r="K57" s="675" t="s">
        <v>215</v>
      </c>
      <c r="L57" s="677" t="s">
        <v>114</v>
      </c>
      <c r="M57" s="674"/>
      <c r="N57" s="674"/>
      <c r="O57" s="674"/>
      <c r="P57" s="673" t="s">
        <v>109</v>
      </c>
      <c r="Q57" s="228">
        <f t="shared" si="1"/>
        <v>705290.25</v>
      </c>
      <c r="R57" s="229">
        <f t="shared" si="22"/>
        <v>0</v>
      </c>
      <c r="S57" s="240">
        <f t="shared" si="23"/>
        <v>123936</v>
      </c>
      <c r="T57" s="240">
        <f t="shared" si="24"/>
        <v>204000</v>
      </c>
      <c r="U57" s="240">
        <f t="shared" si="25"/>
        <v>119700</v>
      </c>
      <c r="V57" s="241">
        <f t="shared" si="26"/>
        <v>125685</v>
      </c>
      <c r="W57" s="242">
        <f t="shared" si="27"/>
        <v>131969.25</v>
      </c>
      <c r="X57" s="404"/>
      <c r="Y57" s="405"/>
      <c r="Z57" s="396"/>
      <c r="AA57" s="611"/>
      <c r="AB57" s="612">
        <v>63936</v>
      </c>
      <c r="AC57" s="612">
        <v>60000</v>
      </c>
      <c r="AD57" s="614"/>
      <c r="AE57" s="683">
        <v>114000</v>
      </c>
      <c r="AF57" s="616">
        <v>90000</v>
      </c>
      <c r="AG57" s="614"/>
      <c r="AH57" s="615">
        <f>AE57*1.05</f>
        <v>119700</v>
      </c>
      <c r="AI57" s="616"/>
      <c r="AJ57" s="614"/>
      <c r="AK57" s="615">
        <f>AH57*1.05</f>
        <v>125685</v>
      </c>
      <c r="AL57" s="617"/>
      <c r="AM57" s="614"/>
      <c r="AN57" s="615">
        <f>AK57*1.05</f>
        <v>131969.25</v>
      </c>
      <c r="AO57" s="616"/>
      <c r="AP57" s="340"/>
      <c r="AQ57" s="669" t="s">
        <v>111</v>
      </c>
      <c r="AR57" s="340"/>
      <c r="AS57" s="223"/>
      <c r="AT57" s="337"/>
    </row>
    <row r="58" spans="1:46" ht="17.649999999999999" customHeight="1" x14ac:dyDescent="0.25">
      <c r="A58" s="665" t="s">
        <v>98</v>
      </c>
      <c r="B58" s="672" t="s">
        <v>124</v>
      </c>
      <c r="C58" s="672" t="s">
        <v>124</v>
      </c>
      <c r="D58" s="673" t="s">
        <v>125</v>
      </c>
      <c r="E58" s="673" t="s">
        <v>101</v>
      </c>
      <c r="F58" s="674" t="s">
        <v>126</v>
      </c>
      <c r="G58" s="678" t="s">
        <v>127</v>
      </c>
      <c r="H58" s="674"/>
      <c r="I58" s="675" t="s">
        <v>128</v>
      </c>
      <c r="J58" s="675" t="s">
        <v>129</v>
      </c>
      <c r="K58" s="675" t="s">
        <v>130</v>
      </c>
      <c r="L58" s="677" t="s">
        <v>114</v>
      </c>
      <c r="M58" s="674"/>
      <c r="N58" s="674"/>
      <c r="O58" s="674"/>
      <c r="P58" s="673" t="s">
        <v>109</v>
      </c>
      <c r="Q58" s="228">
        <f t="shared" si="1"/>
        <v>222471.41750000001</v>
      </c>
      <c r="R58" s="229">
        <f t="shared" si="22"/>
        <v>9323</v>
      </c>
      <c r="S58" s="240">
        <f t="shared" si="23"/>
        <v>40140</v>
      </c>
      <c r="T58" s="240">
        <f t="shared" si="24"/>
        <v>40140</v>
      </c>
      <c r="U58" s="240">
        <f t="shared" si="25"/>
        <v>42147</v>
      </c>
      <c r="V58" s="241">
        <f t="shared" si="26"/>
        <v>44254.35</v>
      </c>
      <c r="W58" s="242">
        <f t="shared" si="27"/>
        <v>46467.067499999997</v>
      </c>
      <c r="X58" s="404"/>
      <c r="Y58" s="405">
        <v>9323</v>
      </c>
      <c r="Z58" s="396"/>
      <c r="AA58" s="611"/>
      <c r="AB58" s="681">
        <v>40140</v>
      </c>
      <c r="AC58" s="599"/>
      <c r="AD58" s="600"/>
      <c r="AE58" s="681">
        <v>40140</v>
      </c>
      <c r="AF58" s="601"/>
      <c r="AG58" s="600"/>
      <c r="AH58" s="599">
        <f>AE58*1.05</f>
        <v>42147</v>
      </c>
      <c r="AI58" s="601"/>
      <c r="AJ58" s="600"/>
      <c r="AK58" s="599">
        <f>AH58*1.05</f>
        <v>44254.35</v>
      </c>
      <c r="AL58" s="599"/>
      <c r="AM58" s="607"/>
      <c r="AN58" s="599">
        <f>AK58*1.05</f>
        <v>46467.067499999997</v>
      </c>
      <c r="AO58" s="616"/>
      <c r="AP58" s="336" t="s">
        <v>131</v>
      </c>
      <c r="AQ58" s="669" t="s">
        <v>132</v>
      </c>
      <c r="AR58" s="340" t="s">
        <v>133</v>
      </c>
      <c r="AS58" s="223"/>
      <c r="AT58" s="337"/>
    </row>
    <row r="59" spans="1:46" ht="17.649999999999999" customHeight="1" x14ac:dyDescent="0.25">
      <c r="A59" s="665" t="s">
        <v>98</v>
      </c>
      <c r="B59" s="672" t="s">
        <v>134</v>
      </c>
      <c r="C59" s="672" t="s">
        <v>134</v>
      </c>
      <c r="D59" s="673" t="s">
        <v>135</v>
      </c>
      <c r="E59" s="673" t="s">
        <v>101</v>
      </c>
      <c r="F59" s="674" t="s">
        <v>126</v>
      </c>
      <c r="G59" s="678" t="s">
        <v>127</v>
      </c>
      <c r="H59" s="674"/>
      <c r="I59" s="675" t="s">
        <v>136</v>
      </c>
      <c r="J59" s="675" t="s">
        <v>216</v>
      </c>
      <c r="K59" s="675" t="s">
        <v>138</v>
      </c>
      <c r="L59" s="677" t="s">
        <v>114</v>
      </c>
      <c r="M59" s="674"/>
      <c r="N59" s="674"/>
      <c r="O59" s="674"/>
      <c r="P59" s="673" t="s">
        <v>109</v>
      </c>
      <c r="Q59" s="228">
        <f t="shared" si="1"/>
        <v>240000</v>
      </c>
      <c r="R59" s="229">
        <f t="shared" si="22"/>
        <v>0</v>
      </c>
      <c r="S59" s="240">
        <f t="shared" si="23"/>
        <v>90000</v>
      </c>
      <c r="T59" s="240">
        <f t="shared" si="24"/>
        <v>0</v>
      </c>
      <c r="U59" s="240">
        <f t="shared" si="25"/>
        <v>50000</v>
      </c>
      <c r="V59" s="241">
        <f t="shared" si="26"/>
        <v>50000</v>
      </c>
      <c r="W59" s="242">
        <f t="shared" si="27"/>
        <v>50000</v>
      </c>
      <c r="X59" s="404"/>
      <c r="Y59" s="405"/>
      <c r="Z59" s="396"/>
      <c r="AA59" s="611"/>
      <c r="AB59" s="612"/>
      <c r="AC59" s="612">
        <v>90000</v>
      </c>
      <c r="AD59" s="614"/>
      <c r="AE59" s="615"/>
      <c r="AF59" s="690">
        <v>0</v>
      </c>
      <c r="AG59" s="614"/>
      <c r="AH59" s="615"/>
      <c r="AI59" s="616">
        <v>50000</v>
      </c>
      <c r="AJ59" s="614"/>
      <c r="AK59" s="615"/>
      <c r="AL59" s="617">
        <v>50000</v>
      </c>
      <c r="AM59" s="614"/>
      <c r="AN59" s="615"/>
      <c r="AO59" s="616">
        <v>50000</v>
      </c>
      <c r="AP59" s="340"/>
      <c r="AQ59" s="669" t="s">
        <v>111</v>
      </c>
      <c r="AR59" s="340"/>
      <c r="AS59" s="223"/>
      <c r="AT59" s="337"/>
    </row>
    <row r="60" spans="1:46" ht="17.649999999999999" customHeight="1" x14ac:dyDescent="0.25">
      <c r="A60" s="665" t="s">
        <v>98</v>
      </c>
      <c r="B60" s="672" t="s">
        <v>98</v>
      </c>
      <c r="C60" s="672" t="s">
        <v>98</v>
      </c>
      <c r="D60" s="673" t="s">
        <v>217</v>
      </c>
      <c r="E60" s="673" t="s">
        <v>101</v>
      </c>
      <c r="F60" s="674" t="s">
        <v>126</v>
      </c>
      <c r="G60" s="678" t="s">
        <v>139</v>
      </c>
      <c r="H60" s="674"/>
      <c r="I60" s="675" t="s">
        <v>218</v>
      </c>
      <c r="J60" s="675" t="s">
        <v>219</v>
      </c>
      <c r="K60" s="675" t="s">
        <v>220</v>
      </c>
      <c r="L60" s="677" t="s">
        <v>114</v>
      </c>
      <c r="M60" s="674"/>
      <c r="N60" s="674"/>
      <c r="O60" s="674"/>
      <c r="P60" s="673" t="s">
        <v>109</v>
      </c>
      <c r="Q60" s="228">
        <f t="shared" si="1"/>
        <v>60000</v>
      </c>
      <c r="R60" s="229">
        <f t="shared" si="22"/>
        <v>0</v>
      </c>
      <c r="S60" s="240">
        <f t="shared" si="23"/>
        <v>60000</v>
      </c>
      <c r="T60" s="240">
        <f t="shared" si="24"/>
        <v>0</v>
      </c>
      <c r="U60" s="240">
        <f t="shared" si="25"/>
        <v>0</v>
      </c>
      <c r="V60" s="241">
        <f t="shared" si="26"/>
        <v>0</v>
      </c>
      <c r="W60" s="242">
        <f t="shared" si="27"/>
        <v>0</v>
      </c>
      <c r="X60" s="404"/>
      <c r="Y60" s="405"/>
      <c r="Z60" s="396"/>
      <c r="AA60" s="611"/>
      <c r="AB60" s="612"/>
      <c r="AC60" s="612">
        <v>60000</v>
      </c>
      <c r="AD60" s="614"/>
      <c r="AE60" s="615"/>
      <c r="AF60" s="616"/>
      <c r="AG60" s="614"/>
      <c r="AH60" s="615"/>
      <c r="AI60" s="616"/>
      <c r="AJ60" s="614"/>
      <c r="AK60" s="615"/>
      <c r="AL60" s="617"/>
      <c r="AM60" s="614"/>
      <c r="AN60" s="615"/>
      <c r="AO60" s="616"/>
      <c r="AP60" s="340"/>
      <c r="AQ60" s="669" t="s">
        <v>111</v>
      </c>
      <c r="AR60" s="340"/>
      <c r="AS60" s="223"/>
      <c r="AT60" s="337"/>
    </row>
    <row r="61" spans="1:46" ht="17.649999999999999" customHeight="1" x14ac:dyDescent="0.25">
      <c r="A61" s="665" t="s">
        <v>98</v>
      </c>
      <c r="B61" s="666" t="s">
        <v>147</v>
      </c>
      <c r="C61" s="666" t="s">
        <v>147</v>
      </c>
      <c r="D61" s="667" t="s">
        <v>221</v>
      </c>
      <c r="E61" s="667" t="s">
        <v>101</v>
      </c>
      <c r="F61" s="670" t="s">
        <v>149</v>
      </c>
      <c r="G61" s="223" t="s">
        <v>103</v>
      </c>
      <c r="H61" s="670" t="s">
        <v>222</v>
      </c>
      <c r="I61" s="679" t="s">
        <v>223</v>
      </c>
      <c r="J61" s="670" t="s">
        <v>224</v>
      </c>
      <c r="K61" s="679" t="s">
        <v>225</v>
      </c>
      <c r="L61" s="677" t="s">
        <v>166</v>
      </c>
      <c r="M61" s="670">
        <v>3</v>
      </c>
      <c r="N61" s="670" t="s">
        <v>226</v>
      </c>
      <c r="O61" s="670" t="s">
        <v>160</v>
      </c>
      <c r="P61" s="667" t="s">
        <v>109</v>
      </c>
      <c r="Q61" s="228">
        <f>SUM(R61:W61)</f>
        <v>0</v>
      </c>
      <c r="R61" s="229">
        <f>SUM(X61:Z61)</f>
        <v>0</v>
      </c>
      <c r="S61" s="240">
        <f>SUM(AA61:AC61)</f>
        <v>0</v>
      </c>
      <c r="T61" s="240">
        <f>SUM(AD61:AF61)</f>
        <v>0</v>
      </c>
      <c r="U61" s="240"/>
      <c r="V61" s="241"/>
      <c r="W61" s="242"/>
      <c r="X61" s="404"/>
      <c r="Y61" s="405"/>
      <c r="Z61" s="396"/>
      <c r="AA61" s="685">
        <v>0</v>
      </c>
      <c r="AB61" s="686">
        <v>0</v>
      </c>
      <c r="AC61" s="612"/>
      <c r="AD61" s="687">
        <v>0</v>
      </c>
      <c r="AE61" s="688">
        <v>0</v>
      </c>
      <c r="AF61" s="616"/>
      <c r="AG61" s="614"/>
      <c r="AH61" s="615"/>
      <c r="AI61" s="616"/>
      <c r="AJ61" s="614"/>
      <c r="AK61" s="615"/>
      <c r="AL61" s="617"/>
      <c r="AM61" s="614"/>
      <c r="AN61" s="615"/>
      <c r="AO61" s="616"/>
      <c r="AP61" s="340" t="s">
        <v>227</v>
      </c>
      <c r="AQ61" s="669" t="s">
        <v>142</v>
      </c>
      <c r="AR61" s="340" t="s">
        <v>228</v>
      </c>
      <c r="AS61" s="223"/>
      <c r="AT61" s="337"/>
    </row>
    <row r="62" spans="1:46" ht="17.649999999999999" customHeight="1" x14ac:dyDescent="0.25">
      <c r="A62" s="665" t="s">
        <v>98</v>
      </c>
      <c r="B62" s="666" t="s">
        <v>147</v>
      </c>
      <c r="C62" s="666" t="s">
        <v>147</v>
      </c>
      <c r="D62" s="667" t="s">
        <v>221</v>
      </c>
      <c r="E62" s="667" t="s">
        <v>101</v>
      </c>
      <c r="F62" s="670" t="s">
        <v>149</v>
      </c>
      <c r="G62" s="223" t="s">
        <v>103</v>
      </c>
      <c r="H62" s="670" t="s">
        <v>229</v>
      </c>
      <c r="I62" s="679" t="s">
        <v>230</v>
      </c>
      <c r="J62" s="679" t="s">
        <v>229</v>
      </c>
      <c r="K62" s="679" t="s">
        <v>231</v>
      </c>
      <c r="L62" s="677" t="s">
        <v>114</v>
      </c>
      <c r="M62" s="670">
        <v>2</v>
      </c>
      <c r="N62" s="670" t="s">
        <v>232</v>
      </c>
      <c r="O62" s="670" t="s">
        <v>211</v>
      </c>
      <c r="P62" s="667" t="s">
        <v>109</v>
      </c>
      <c r="Q62" s="228">
        <f>SUM(R62:W62)</f>
        <v>237750</v>
      </c>
      <c r="R62" s="229">
        <f>SUM(X62:Z62)</f>
        <v>0</v>
      </c>
      <c r="S62" s="240">
        <f>SUM(AA62:AC62)</f>
        <v>86100</v>
      </c>
      <c r="T62" s="240">
        <f>SUM(AD62:AF62)</f>
        <v>151650</v>
      </c>
      <c r="U62" s="240"/>
      <c r="V62" s="241"/>
      <c r="W62" s="242"/>
      <c r="X62" s="404"/>
      <c r="Y62" s="405"/>
      <c r="Z62" s="396"/>
      <c r="AA62" s="611">
        <v>49800</v>
      </c>
      <c r="AB62" s="682">
        <v>36300</v>
      </c>
      <c r="AC62" s="612"/>
      <c r="AD62" s="614">
        <v>115350</v>
      </c>
      <c r="AE62" s="683">
        <v>36300</v>
      </c>
      <c r="AF62" s="616"/>
      <c r="AG62" s="614"/>
      <c r="AH62" s="615"/>
      <c r="AI62" s="616"/>
      <c r="AJ62" s="614"/>
      <c r="AK62" s="615"/>
      <c r="AL62" s="617"/>
      <c r="AM62" s="614"/>
      <c r="AN62" s="615"/>
      <c r="AO62" s="616"/>
      <c r="AP62" s="340" t="s">
        <v>233</v>
      </c>
      <c r="AQ62" s="669" t="s">
        <v>111</v>
      </c>
      <c r="AR62" s="340" t="s">
        <v>234</v>
      </c>
      <c r="AS62" s="223"/>
      <c r="AT62" s="337"/>
    </row>
    <row r="63" spans="1:46" ht="17.649999999999999" customHeight="1" x14ac:dyDescent="0.25">
      <c r="A63" s="665" t="s">
        <v>98</v>
      </c>
      <c r="B63" s="666" t="s">
        <v>124</v>
      </c>
      <c r="C63" s="666" t="s">
        <v>124</v>
      </c>
      <c r="D63" s="667" t="s">
        <v>235</v>
      </c>
      <c r="E63" s="667" t="s">
        <v>101</v>
      </c>
      <c r="F63" s="670" t="s">
        <v>149</v>
      </c>
      <c r="G63" s="223" t="s">
        <v>103</v>
      </c>
      <c r="H63" s="670" t="s">
        <v>236</v>
      </c>
      <c r="I63" s="679" t="s">
        <v>237</v>
      </c>
      <c r="J63" s="679" t="s">
        <v>238</v>
      </c>
      <c r="K63" s="679" t="s">
        <v>239</v>
      </c>
      <c r="L63" s="677" t="s">
        <v>114</v>
      </c>
      <c r="M63" s="670">
        <v>1</v>
      </c>
      <c r="N63" s="670" t="s">
        <v>240</v>
      </c>
      <c r="O63" s="670" t="s">
        <v>211</v>
      </c>
      <c r="P63" s="667" t="s">
        <v>109</v>
      </c>
      <c r="Q63" s="228">
        <f>SUM(R63:W63)</f>
        <v>679900</v>
      </c>
      <c r="R63" s="229">
        <f>SUM(X63:Z63)</f>
        <v>0</v>
      </c>
      <c r="S63" s="240">
        <f>SUM(AA63:AC63)</f>
        <v>165500</v>
      </c>
      <c r="T63" s="240">
        <f>SUM(AD63:AF63)</f>
        <v>514400</v>
      </c>
      <c r="U63" s="240"/>
      <c r="V63" s="241"/>
      <c r="W63" s="242"/>
      <c r="X63" s="404"/>
      <c r="Y63" s="405"/>
      <c r="Z63" s="396"/>
      <c r="AA63" s="611">
        <v>70000</v>
      </c>
      <c r="AB63" s="682">
        <v>95500</v>
      </c>
      <c r="AC63" s="612"/>
      <c r="AD63" s="614">
        <v>186750</v>
      </c>
      <c r="AE63" s="683">
        <v>327650</v>
      </c>
      <c r="AF63" s="616"/>
      <c r="AG63" s="614"/>
      <c r="AH63" s="615"/>
      <c r="AI63" s="616"/>
      <c r="AJ63" s="614"/>
      <c r="AK63" s="615"/>
      <c r="AL63" s="617"/>
      <c r="AM63" s="614"/>
      <c r="AN63" s="615"/>
      <c r="AO63" s="616"/>
      <c r="AP63" s="340" t="s">
        <v>241</v>
      </c>
      <c r="AQ63" s="669" t="s">
        <v>142</v>
      </c>
      <c r="AR63" s="340" t="s">
        <v>242</v>
      </c>
      <c r="AS63" s="223"/>
      <c r="AT63" s="337"/>
    </row>
    <row r="64" spans="1:46" s="156" customFormat="1" ht="15.75" x14ac:dyDescent="0.25">
      <c r="A64" s="665" t="s">
        <v>98</v>
      </c>
      <c r="B64" s="666" t="s">
        <v>124</v>
      </c>
      <c r="C64" s="666" t="s">
        <v>124</v>
      </c>
      <c r="D64" s="667" t="s">
        <v>243</v>
      </c>
      <c r="E64" s="667" t="s">
        <v>101</v>
      </c>
      <c r="F64" s="670" t="s">
        <v>118</v>
      </c>
      <c r="G64" s="223" t="s">
        <v>139</v>
      </c>
      <c r="H64" s="670"/>
      <c r="I64" s="679"/>
      <c r="J64" s="679" t="s">
        <v>244</v>
      </c>
      <c r="K64" s="679"/>
      <c r="L64" s="677"/>
      <c r="M64" s="670"/>
      <c r="N64" s="670"/>
      <c r="O64" s="670"/>
      <c r="P64" s="667" t="s">
        <v>141</v>
      </c>
      <c r="Q64" s="228">
        <f>SUM(R64:W64)</f>
        <v>1488040</v>
      </c>
      <c r="R64" s="229">
        <v>69600</v>
      </c>
      <c r="S64" s="240">
        <v>780917</v>
      </c>
      <c r="T64" s="240">
        <v>569557</v>
      </c>
      <c r="U64" s="240">
        <v>33983</v>
      </c>
      <c r="V64" s="240">
        <v>33983</v>
      </c>
      <c r="W64" s="242"/>
      <c r="X64" s="404">
        <v>69600</v>
      </c>
      <c r="Y64" s="405">
        <v>0</v>
      </c>
      <c r="Z64" s="396">
        <v>0</v>
      </c>
      <c r="AA64" s="406">
        <v>610361</v>
      </c>
      <c r="AB64" s="405">
        <v>148310</v>
      </c>
      <c r="AC64" s="405">
        <v>22247</v>
      </c>
      <c r="AD64" s="411">
        <v>450820</v>
      </c>
      <c r="AE64" s="412">
        <v>103250</v>
      </c>
      <c r="AF64" s="413">
        <v>15488</v>
      </c>
      <c r="AG64" s="411">
        <v>0</v>
      </c>
      <c r="AH64" s="412">
        <v>29550</v>
      </c>
      <c r="AI64" s="413">
        <v>4432</v>
      </c>
      <c r="AJ64" s="411">
        <v>0</v>
      </c>
      <c r="AK64" s="412">
        <v>29550</v>
      </c>
      <c r="AL64" s="413">
        <v>4432</v>
      </c>
      <c r="AM64" s="411"/>
      <c r="AN64" s="412"/>
      <c r="AO64" s="413"/>
      <c r="AP64" s="340"/>
      <c r="AQ64" s="669"/>
      <c r="AR64" s="340"/>
      <c r="AS64" s="221"/>
      <c r="AT64" s="295"/>
    </row>
    <row r="65" spans="1:46" s="156" customFormat="1" ht="15.75" x14ac:dyDescent="0.25">
      <c r="A65" s="665" t="s">
        <v>98</v>
      </c>
      <c r="B65" s="666" t="s">
        <v>124</v>
      </c>
      <c r="C65" s="666" t="s">
        <v>124</v>
      </c>
      <c r="D65" s="667" t="s">
        <v>245</v>
      </c>
      <c r="E65" s="667" t="s">
        <v>101</v>
      </c>
      <c r="F65" s="670" t="s">
        <v>149</v>
      </c>
      <c r="G65" s="223" t="s">
        <v>139</v>
      </c>
      <c r="H65" s="670"/>
      <c r="I65" s="679"/>
      <c r="J65" s="679" t="s">
        <v>246</v>
      </c>
      <c r="K65" s="679"/>
      <c r="L65" s="677"/>
      <c r="M65" s="670"/>
      <c r="N65" s="670"/>
      <c r="O65" s="670"/>
      <c r="P65" s="667" t="s">
        <v>141</v>
      </c>
      <c r="Q65" s="525">
        <v>1362106.23</v>
      </c>
      <c r="R65" s="526"/>
      <c r="S65" s="241">
        <v>432000</v>
      </c>
      <c r="T65" s="527">
        <v>683147.54</v>
      </c>
      <c r="U65" s="240">
        <v>246958.69</v>
      </c>
      <c r="V65" s="241"/>
      <c r="W65" s="242"/>
      <c r="X65" s="404">
        <v>240000</v>
      </c>
      <c r="Y65" s="405">
        <v>192000</v>
      </c>
      <c r="Z65" s="396"/>
      <c r="AA65" s="405">
        <v>491147.54</v>
      </c>
      <c r="AB65" s="405">
        <v>192000</v>
      </c>
      <c r="AC65" s="405"/>
      <c r="AD65" s="411"/>
      <c r="AE65" s="412">
        <v>144000</v>
      </c>
      <c r="AF65" s="413">
        <v>102958.69</v>
      </c>
      <c r="AG65" s="411"/>
      <c r="AH65" s="412"/>
      <c r="AI65" s="413"/>
      <c r="AJ65" s="411"/>
      <c r="AK65" s="412"/>
      <c r="AL65" s="414"/>
      <c r="AM65" s="411"/>
      <c r="AN65" s="412"/>
      <c r="AO65" s="413"/>
      <c r="AP65" s="340"/>
      <c r="AQ65" s="669"/>
      <c r="AR65" s="340"/>
      <c r="AS65" s="221"/>
      <c r="AT65" s="295"/>
    </row>
    <row r="66" spans="1:46" s="156" customFormat="1" ht="15.75" x14ac:dyDescent="0.25">
      <c r="A66" s="665" t="s">
        <v>98</v>
      </c>
      <c r="B66" s="666" t="s">
        <v>124</v>
      </c>
      <c r="C66" s="666" t="s">
        <v>124</v>
      </c>
      <c r="D66" s="667" t="s">
        <v>247</v>
      </c>
      <c r="E66" s="667" t="s">
        <v>101</v>
      </c>
      <c r="F66" s="670" t="s">
        <v>149</v>
      </c>
      <c r="G66" s="223" t="s">
        <v>139</v>
      </c>
      <c r="H66" s="670"/>
      <c r="I66" s="679"/>
      <c r="J66" s="679" t="s">
        <v>248</v>
      </c>
      <c r="K66" s="679"/>
      <c r="L66" s="677"/>
      <c r="M66" s="670"/>
      <c r="N66" s="670"/>
      <c r="O66" s="670"/>
      <c r="P66" s="667" t="s">
        <v>141</v>
      </c>
      <c r="Q66" s="525">
        <v>983278</v>
      </c>
      <c r="R66" s="229"/>
      <c r="S66" s="240">
        <v>454233.5</v>
      </c>
      <c r="T66" s="240">
        <v>284110.21999999997</v>
      </c>
      <c r="U66" s="240">
        <v>244934.28</v>
      </c>
      <c r="V66" s="241"/>
      <c r="W66" s="242"/>
      <c r="X66" s="404"/>
      <c r="Y66" s="405"/>
      <c r="Z66" s="396"/>
      <c r="AA66" s="405">
        <v>367923.5</v>
      </c>
      <c r="AB66" s="405">
        <v>86310</v>
      </c>
      <c r="AC66" s="405"/>
      <c r="AD66" s="411">
        <v>197800.22</v>
      </c>
      <c r="AE66" s="412">
        <v>86310</v>
      </c>
      <c r="AF66" s="413"/>
      <c r="AG66" s="411">
        <v>167252.28000000003</v>
      </c>
      <c r="AH66" s="412">
        <v>17180</v>
      </c>
      <c r="AI66" s="413">
        <v>60502</v>
      </c>
      <c r="AJ66" s="411"/>
      <c r="AK66" s="412"/>
      <c r="AL66" s="414"/>
      <c r="AM66" s="411"/>
      <c r="AN66" s="412"/>
      <c r="AO66" s="413"/>
      <c r="AP66" s="340"/>
      <c r="AQ66" s="669"/>
      <c r="AR66" s="340"/>
      <c r="AS66" s="221"/>
      <c r="AT66" s="295"/>
    </row>
    <row r="67" spans="1:46" s="156" customFormat="1" ht="15.75" x14ac:dyDescent="0.25">
      <c r="A67" s="665" t="s">
        <v>98</v>
      </c>
      <c r="B67" s="666" t="s">
        <v>124</v>
      </c>
      <c r="C67" s="666" t="s">
        <v>124</v>
      </c>
      <c r="D67" s="667" t="s">
        <v>249</v>
      </c>
      <c r="E67" s="667" t="s">
        <v>101</v>
      </c>
      <c r="F67" s="670" t="s">
        <v>149</v>
      </c>
      <c r="G67" s="223" t="s">
        <v>139</v>
      </c>
      <c r="H67" s="670"/>
      <c r="I67" s="679"/>
      <c r="J67" s="679" t="s">
        <v>250</v>
      </c>
      <c r="K67" s="679"/>
      <c r="L67" s="677"/>
      <c r="M67" s="670"/>
      <c r="N67" s="670"/>
      <c r="O67" s="670"/>
      <c r="P67" s="667" t="s">
        <v>141</v>
      </c>
      <c r="Q67" s="228">
        <v>73055.63</v>
      </c>
      <c r="R67" s="229"/>
      <c r="S67" s="240">
        <v>28646</v>
      </c>
      <c r="T67" s="240">
        <v>29268</v>
      </c>
      <c r="U67" s="240">
        <v>15142</v>
      </c>
      <c r="V67" s="241"/>
      <c r="W67" s="242"/>
      <c r="X67" s="404"/>
      <c r="Y67" s="405"/>
      <c r="Z67" s="396"/>
      <c r="AA67" s="406"/>
      <c r="AB67" s="405">
        <v>28646</v>
      </c>
      <c r="AC67" s="405"/>
      <c r="AD67" s="411"/>
      <c r="AE67" s="412">
        <v>28646</v>
      </c>
      <c r="AF67" s="413">
        <v>622</v>
      </c>
      <c r="AG67" s="411"/>
      <c r="AH67" s="412">
        <v>9548</v>
      </c>
      <c r="AI67" s="413">
        <v>5594</v>
      </c>
      <c r="AJ67" s="411"/>
      <c r="AK67" s="412"/>
      <c r="AL67" s="414"/>
      <c r="AM67" s="411"/>
      <c r="AN67" s="412"/>
      <c r="AO67" s="413"/>
      <c r="AP67" s="340"/>
      <c r="AQ67" s="669"/>
      <c r="AR67" s="340"/>
      <c r="AS67" s="221"/>
      <c r="AT67" s="295"/>
    </row>
    <row r="68" spans="1:46" s="156" customFormat="1" ht="15.75" x14ac:dyDescent="0.25">
      <c r="A68" s="665" t="s">
        <v>98</v>
      </c>
      <c r="B68" s="666" t="s">
        <v>124</v>
      </c>
      <c r="C68" s="666" t="s">
        <v>124</v>
      </c>
      <c r="D68" s="691"/>
      <c r="E68" s="691" t="s">
        <v>251</v>
      </c>
      <c r="F68" s="670" t="s">
        <v>252</v>
      </c>
      <c r="G68" s="223" t="s">
        <v>253</v>
      </c>
      <c r="H68" s="692"/>
      <c r="I68" s="693" t="s">
        <v>254</v>
      </c>
      <c r="J68" s="693" t="s">
        <v>255</v>
      </c>
      <c r="K68" s="693" t="s">
        <v>256</v>
      </c>
      <c r="L68" s="694"/>
      <c r="M68" s="692"/>
      <c r="N68" s="692" t="s">
        <v>257</v>
      </c>
      <c r="O68" s="692"/>
      <c r="P68" s="691" t="s">
        <v>258</v>
      </c>
      <c r="Q68" s="228">
        <f t="shared" ref="Q68:Q70" si="35">SUM(R68:W68)</f>
        <v>855700</v>
      </c>
      <c r="R68" s="229">
        <f t="shared" ref="R68:R70" si="36">SUM(X68:Z68)</f>
        <v>0</v>
      </c>
      <c r="S68" s="240">
        <f t="shared" ref="S68:S70" si="37">SUM(AA68:AC68)</f>
        <v>0</v>
      </c>
      <c r="T68" s="240">
        <f t="shared" ref="T68:T70" si="38">SUM(AD68:AF68)</f>
        <v>165700</v>
      </c>
      <c r="U68" s="240">
        <f t="shared" ref="U68:U70" si="39">SUM(AG68:AI68)</f>
        <v>237300</v>
      </c>
      <c r="V68" s="241">
        <f t="shared" ref="V68:V70" si="40">SUM(AJ68:AL68)</f>
        <v>189700</v>
      </c>
      <c r="W68" s="242">
        <f t="shared" ref="W68:W70" si="41">SUM(AM68:AO68)</f>
        <v>263000</v>
      </c>
      <c r="X68" s="407"/>
      <c r="Y68" s="408"/>
      <c r="Z68" s="409"/>
      <c r="AA68" s="410"/>
      <c r="AB68" s="408"/>
      <c r="AC68" s="408"/>
      <c r="AD68" s="415"/>
      <c r="AE68" s="416">
        <v>161800</v>
      </c>
      <c r="AF68" s="417">
        <v>3900</v>
      </c>
      <c r="AG68" s="415"/>
      <c r="AH68" s="416">
        <v>173100</v>
      </c>
      <c r="AI68" s="417">
        <v>64200</v>
      </c>
      <c r="AJ68" s="415"/>
      <c r="AK68" s="416">
        <v>185200</v>
      </c>
      <c r="AL68" s="416">
        <v>4500</v>
      </c>
      <c r="AM68" s="411"/>
      <c r="AN68" s="412">
        <v>198200</v>
      </c>
      <c r="AO68" s="413">
        <v>64800</v>
      </c>
      <c r="AP68" s="341" t="s">
        <v>259</v>
      </c>
      <c r="AQ68" s="695"/>
      <c r="AR68" s="341"/>
      <c r="AS68" s="221"/>
      <c r="AT68" s="295"/>
    </row>
    <row r="69" spans="1:46" s="156" customFormat="1" ht="15.75" x14ac:dyDescent="0.25">
      <c r="A69" s="665" t="s">
        <v>98</v>
      </c>
      <c r="B69" s="666" t="s">
        <v>124</v>
      </c>
      <c r="C69" s="666" t="s">
        <v>124</v>
      </c>
      <c r="D69" s="691"/>
      <c r="E69" s="691" t="s">
        <v>101</v>
      </c>
      <c r="F69" s="670" t="s">
        <v>149</v>
      </c>
      <c r="G69" s="223"/>
      <c r="H69" s="692"/>
      <c r="I69" s="693" t="s">
        <v>260</v>
      </c>
      <c r="J69" s="693" t="s">
        <v>261</v>
      </c>
      <c r="K69" s="693" t="s">
        <v>262</v>
      </c>
      <c r="L69" s="694"/>
      <c r="M69" s="692"/>
      <c r="N69" s="692" t="s">
        <v>263</v>
      </c>
      <c r="O69" s="692"/>
      <c r="P69" s="691" t="s">
        <v>258</v>
      </c>
      <c r="Q69" s="228">
        <f t="shared" si="35"/>
        <v>10221615</v>
      </c>
      <c r="R69" s="229">
        <f t="shared" si="36"/>
        <v>0</v>
      </c>
      <c r="S69" s="240">
        <f t="shared" si="37"/>
        <v>0</v>
      </c>
      <c r="T69" s="240">
        <f t="shared" si="38"/>
        <v>2302125</v>
      </c>
      <c r="U69" s="240">
        <f t="shared" si="39"/>
        <v>2463370</v>
      </c>
      <c r="V69" s="241">
        <f t="shared" si="40"/>
        <v>2635790</v>
      </c>
      <c r="W69" s="242">
        <f t="shared" si="41"/>
        <v>2820330</v>
      </c>
      <c r="X69" s="407"/>
      <c r="Y69" s="408"/>
      <c r="Z69" s="409"/>
      <c r="AA69" s="410"/>
      <c r="AB69" s="408"/>
      <c r="AC69" s="408"/>
      <c r="AD69" s="415">
        <v>90000</v>
      </c>
      <c r="AE69" s="416">
        <v>1704600</v>
      </c>
      <c r="AF69" s="417">
        <v>507525</v>
      </c>
      <c r="AG69" s="415">
        <v>96300</v>
      </c>
      <c r="AH69" s="416">
        <v>1824000</v>
      </c>
      <c r="AI69" s="417">
        <v>543070</v>
      </c>
      <c r="AJ69" s="415">
        <v>103000</v>
      </c>
      <c r="AK69" s="416">
        <v>1951700</v>
      </c>
      <c r="AL69" s="416">
        <v>581090</v>
      </c>
      <c r="AM69" s="411">
        <v>110200</v>
      </c>
      <c r="AN69" s="412">
        <v>2088300</v>
      </c>
      <c r="AO69" s="413">
        <v>621830</v>
      </c>
      <c r="AP69" s="341" t="s">
        <v>264</v>
      </c>
      <c r="AQ69" s="695"/>
      <c r="AR69" s="341"/>
      <c r="AS69" s="221"/>
      <c r="AT69" s="295"/>
    </row>
    <row r="70" spans="1:46" s="156" customFormat="1" ht="15.75" x14ac:dyDescent="0.25">
      <c r="A70" s="665" t="s">
        <v>98</v>
      </c>
      <c r="B70" s="666" t="s">
        <v>124</v>
      </c>
      <c r="C70" s="666" t="s">
        <v>124</v>
      </c>
      <c r="D70" s="691"/>
      <c r="E70" s="691" t="s">
        <v>101</v>
      </c>
      <c r="F70" s="670" t="s">
        <v>118</v>
      </c>
      <c r="G70" s="223"/>
      <c r="H70" s="692"/>
      <c r="I70" s="693" t="s">
        <v>265</v>
      </c>
      <c r="J70" s="693" t="s">
        <v>266</v>
      </c>
      <c r="K70" s="693" t="s">
        <v>267</v>
      </c>
      <c r="L70" s="694"/>
      <c r="M70" s="692"/>
      <c r="N70" s="692" t="s">
        <v>268</v>
      </c>
      <c r="O70" s="692"/>
      <c r="P70" s="691" t="s">
        <v>258</v>
      </c>
      <c r="Q70" s="228">
        <f t="shared" si="35"/>
        <v>9991998</v>
      </c>
      <c r="R70" s="229">
        <f t="shared" si="36"/>
        <v>0</v>
      </c>
      <c r="S70" s="240">
        <f t="shared" si="37"/>
        <v>0</v>
      </c>
      <c r="T70" s="240">
        <f t="shared" si="38"/>
        <v>2250398</v>
      </c>
      <c r="U70" s="240">
        <f t="shared" si="39"/>
        <v>2408400</v>
      </c>
      <c r="V70" s="241">
        <f t="shared" si="40"/>
        <v>2576500</v>
      </c>
      <c r="W70" s="242">
        <f t="shared" si="41"/>
        <v>2756700</v>
      </c>
      <c r="X70" s="407"/>
      <c r="Y70" s="408"/>
      <c r="Z70" s="409"/>
      <c r="AA70" s="410"/>
      <c r="AB70" s="408"/>
      <c r="AC70" s="408"/>
      <c r="AD70" s="410"/>
      <c r="AE70" s="408">
        <v>1126020</v>
      </c>
      <c r="AF70" s="408">
        <v>1124378</v>
      </c>
      <c r="AG70" s="415"/>
      <c r="AH70" s="416">
        <v>1204700</v>
      </c>
      <c r="AI70" s="417">
        <v>1203700</v>
      </c>
      <c r="AJ70" s="415"/>
      <c r="AK70" s="416">
        <v>1289100</v>
      </c>
      <c r="AL70" s="417">
        <v>1287400</v>
      </c>
      <c r="AM70" s="415"/>
      <c r="AN70" s="416">
        <v>1379200</v>
      </c>
      <c r="AO70" s="416">
        <v>1377500</v>
      </c>
      <c r="AP70" s="341" t="s">
        <v>269</v>
      </c>
      <c r="AQ70" s="695"/>
      <c r="AR70" s="341"/>
      <c r="AS70" s="221"/>
      <c r="AT70" s="295"/>
    </row>
    <row r="71" spans="1:46" s="156" customFormat="1" ht="15.75" x14ac:dyDescent="0.25">
      <c r="A71" s="665" t="s">
        <v>98</v>
      </c>
      <c r="B71" s="666" t="s">
        <v>124</v>
      </c>
      <c r="C71" s="666" t="s">
        <v>124</v>
      </c>
      <c r="D71" s="691"/>
      <c r="E71" s="691" t="s">
        <v>251</v>
      </c>
      <c r="F71" s="670" t="s">
        <v>252</v>
      </c>
      <c r="G71" s="223" t="s">
        <v>253</v>
      </c>
      <c r="H71" s="692"/>
      <c r="I71" s="693" t="s">
        <v>270</v>
      </c>
      <c r="J71" s="693" t="s">
        <v>255</v>
      </c>
      <c r="K71" s="693" t="s">
        <v>271</v>
      </c>
      <c r="L71" s="694"/>
      <c r="M71" s="692"/>
      <c r="N71" s="692"/>
      <c r="O71" s="692"/>
      <c r="P71" s="691" t="s">
        <v>258</v>
      </c>
      <c r="Q71" s="228">
        <f>SUM(R71:W71)</f>
        <v>1537000</v>
      </c>
      <c r="R71" s="229">
        <f>SUM(X71:Z71)</f>
        <v>0</v>
      </c>
      <c r="S71" s="240">
        <f>SUM(AA71:AC71)</f>
        <v>0</v>
      </c>
      <c r="T71" s="240">
        <f>SUM(AD71:AF71)</f>
        <v>757000</v>
      </c>
      <c r="U71" s="240">
        <f>SUM(AG71:AI71)</f>
        <v>260000</v>
      </c>
      <c r="V71" s="241">
        <f>SUM(AJ71:AL71)</f>
        <v>260000</v>
      </c>
      <c r="W71" s="242">
        <f>SUM(AM71:AO71)</f>
        <v>260000</v>
      </c>
      <c r="X71" s="407"/>
      <c r="Y71" s="408"/>
      <c r="Z71" s="409"/>
      <c r="AA71" s="410"/>
      <c r="AB71" s="408"/>
      <c r="AC71" s="408"/>
      <c r="AD71" s="415">
        <v>497000</v>
      </c>
      <c r="AE71" s="416"/>
      <c r="AF71" s="417">
        <v>260000</v>
      </c>
      <c r="AG71" s="415"/>
      <c r="AH71" s="416"/>
      <c r="AI71" s="417">
        <v>260000</v>
      </c>
      <c r="AJ71" s="415"/>
      <c r="AK71" s="416"/>
      <c r="AL71" s="416">
        <v>260000</v>
      </c>
      <c r="AM71" s="411"/>
      <c r="AN71" s="412"/>
      <c r="AO71" s="413">
        <v>260000</v>
      </c>
      <c r="AP71" s="669" t="s">
        <v>272</v>
      </c>
      <c r="AQ71" s="695"/>
      <c r="AR71" s="341"/>
      <c r="AS71" s="221"/>
      <c r="AT71" s="295"/>
    </row>
    <row r="72" spans="1:46" s="156" customFormat="1" ht="15.75" x14ac:dyDescent="0.25">
      <c r="A72" s="665" t="s">
        <v>98</v>
      </c>
      <c r="B72" s="666" t="s">
        <v>124</v>
      </c>
      <c r="C72" s="666" t="s">
        <v>124</v>
      </c>
      <c r="D72" s="691"/>
      <c r="E72" s="691" t="s">
        <v>101</v>
      </c>
      <c r="F72" s="670" t="s">
        <v>118</v>
      </c>
      <c r="G72" s="223"/>
      <c r="H72" s="692"/>
      <c r="I72" s="693" t="s">
        <v>273</v>
      </c>
      <c r="J72" s="693" t="s">
        <v>274</v>
      </c>
      <c r="K72" s="693" t="s">
        <v>275</v>
      </c>
      <c r="L72" s="694"/>
      <c r="M72" s="692"/>
      <c r="N72" s="692"/>
      <c r="O72" s="692"/>
      <c r="P72" s="691" t="s">
        <v>258</v>
      </c>
      <c r="Q72" s="228">
        <f t="shared" ref="Q72:Q73" si="42">SUM(R72:W72)</f>
        <v>24800</v>
      </c>
      <c r="R72" s="229">
        <f t="shared" ref="R72:R73" si="43">SUM(X72:Z72)</f>
        <v>0</v>
      </c>
      <c r="S72" s="240">
        <f t="shared" ref="S72:S73" si="44">SUM(AA72:AC72)</f>
        <v>0</v>
      </c>
      <c r="T72" s="240">
        <f t="shared" ref="T72:T73" si="45">SUM(AD72:AF72)</f>
        <v>0</v>
      </c>
      <c r="U72" s="240">
        <f t="shared" ref="U72:U73" si="46">SUM(AG72:AI72)</f>
        <v>0</v>
      </c>
      <c r="V72" s="241">
        <f t="shared" ref="V72:V73" si="47">SUM(AJ72:AL72)</f>
        <v>0</v>
      </c>
      <c r="W72" s="242">
        <f t="shared" ref="W72:W73" si="48">SUM(AM72:AO72)</f>
        <v>24800</v>
      </c>
      <c r="X72" s="407"/>
      <c r="Y72" s="408"/>
      <c r="Z72" s="409"/>
      <c r="AA72" s="410"/>
      <c r="AB72" s="408"/>
      <c r="AC72" s="408"/>
      <c r="AD72" s="415"/>
      <c r="AE72" s="416"/>
      <c r="AF72" s="417"/>
      <c r="AG72" s="415"/>
      <c r="AH72" s="416"/>
      <c r="AI72" s="417"/>
      <c r="AJ72" s="415"/>
      <c r="AK72" s="416"/>
      <c r="AL72" s="416"/>
      <c r="AM72" s="411"/>
      <c r="AN72" s="412"/>
      <c r="AO72" s="413">
        <v>24800</v>
      </c>
      <c r="AP72" s="696" t="s">
        <v>276</v>
      </c>
      <c r="AQ72" s="695"/>
      <c r="AR72" s="341"/>
      <c r="AS72" s="221"/>
      <c r="AT72" s="295"/>
    </row>
    <row r="73" spans="1:46" s="156" customFormat="1" ht="15.75" x14ac:dyDescent="0.25">
      <c r="A73" s="665" t="s">
        <v>98</v>
      </c>
      <c r="B73" s="666" t="s">
        <v>124</v>
      </c>
      <c r="C73" s="666" t="s">
        <v>124</v>
      </c>
      <c r="D73" s="691"/>
      <c r="E73" s="691" t="s">
        <v>101</v>
      </c>
      <c r="F73" s="670" t="s">
        <v>118</v>
      </c>
      <c r="G73" s="223"/>
      <c r="H73" s="692"/>
      <c r="I73" s="693" t="s">
        <v>273</v>
      </c>
      <c r="J73" s="693" t="s">
        <v>277</v>
      </c>
      <c r="K73" s="693" t="s">
        <v>275</v>
      </c>
      <c r="L73" s="694"/>
      <c r="M73" s="692"/>
      <c r="N73" s="692"/>
      <c r="O73" s="692"/>
      <c r="P73" s="691" t="s">
        <v>258</v>
      </c>
      <c r="Q73" s="228">
        <f t="shared" si="42"/>
        <v>44640</v>
      </c>
      <c r="R73" s="229">
        <f t="shared" si="43"/>
        <v>0</v>
      </c>
      <c r="S73" s="240">
        <f t="shared" si="44"/>
        <v>0</v>
      </c>
      <c r="T73" s="240">
        <f t="shared" si="45"/>
        <v>0</v>
      </c>
      <c r="U73" s="240">
        <f t="shared" si="46"/>
        <v>0</v>
      </c>
      <c r="V73" s="241">
        <f t="shared" si="47"/>
        <v>0</v>
      </c>
      <c r="W73" s="242">
        <f t="shared" si="48"/>
        <v>44640</v>
      </c>
      <c r="X73" s="407"/>
      <c r="Y73" s="408"/>
      <c r="Z73" s="409"/>
      <c r="AA73" s="410"/>
      <c r="AB73" s="408"/>
      <c r="AC73" s="408"/>
      <c r="AD73" s="415"/>
      <c r="AE73" s="416"/>
      <c r="AF73" s="417"/>
      <c r="AG73" s="415"/>
      <c r="AH73" s="416"/>
      <c r="AI73" s="417"/>
      <c r="AJ73" s="415"/>
      <c r="AK73" s="416"/>
      <c r="AL73" s="416"/>
      <c r="AM73" s="411"/>
      <c r="AN73" s="412"/>
      <c r="AO73" s="413">
        <v>44640</v>
      </c>
      <c r="AP73" s="341" t="s">
        <v>276</v>
      </c>
      <c r="AQ73" s="695"/>
      <c r="AR73" s="341"/>
      <c r="AS73" s="221"/>
      <c r="AT73" s="295"/>
    </row>
    <row r="74" spans="1:46" s="156" customFormat="1" ht="15.6" customHeight="1" thickBot="1" x14ac:dyDescent="0.3">
      <c r="A74" s="37"/>
      <c r="B74" s="29"/>
      <c r="C74" s="38"/>
      <c r="D74" s="38"/>
      <c r="E74" s="38"/>
      <c r="F74" s="38"/>
      <c r="G74" s="38"/>
      <c r="H74" s="38"/>
      <c r="I74" s="38"/>
      <c r="J74" s="29"/>
      <c r="K74" s="38"/>
      <c r="L74" s="38"/>
      <c r="M74" s="38"/>
      <c r="N74" s="38"/>
      <c r="O74" s="38"/>
      <c r="P74" s="38"/>
      <c r="Q74" s="214">
        <f t="shared" si="1"/>
        <v>32833685.949999996</v>
      </c>
      <c r="R74" s="201">
        <f t="shared" si="6"/>
        <v>2536113</v>
      </c>
      <c r="S74" s="202">
        <f t="shared" si="11"/>
        <v>15826611.539999999</v>
      </c>
      <c r="T74" s="202">
        <f t="shared" si="12"/>
        <v>14470961.409999998</v>
      </c>
      <c r="U74" s="202">
        <f t="shared" si="13"/>
        <v>0</v>
      </c>
      <c r="V74" s="203">
        <f t="shared" si="14"/>
        <v>0</v>
      </c>
      <c r="W74" s="203">
        <f t="shared" si="10"/>
        <v>0</v>
      </c>
      <c r="X74" s="266">
        <f t="shared" ref="X74:AF74" si="49">SUM(X35:X73)</f>
        <v>1849600</v>
      </c>
      <c r="Y74" s="267">
        <f t="shared" si="49"/>
        <v>622996</v>
      </c>
      <c r="Z74" s="268">
        <f t="shared" si="49"/>
        <v>63517</v>
      </c>
      <c r="AA74" s="266">
        <f t="shared" si="49"/>
        <v>12602641.039999999</v>
      </c>
      <c r="AB74" s="267">
        <f t="shared" si="49"/>
        <v>2810822.5</v>
      </c>
      <c r="AC74" s="268">
        <f t="shared" si="49"/>
        <v>413148</v>
      </c>
      <c r="AD74" s="266">
        <f t="shared" si="49"/>
        <v>7233714.2199999997</v>
      </c>
      <c r="AE74" s="267">
        <f t="shared" si="49"/>
        <v>5039960.5</v>
      </c>
      <c r="AF74" s="268">
        <f t="shared" si="49"/>
        <v>2197286.69</v>
      </c>
      <c r="AG74" s="204"/>
      <c r="AH74" s="31"/>
      <c r="AI74" s="32"/>
      <c r="AJ74" s="33"/>
      <c r="AK74" s="31"/>
      <c r="AL74" s="31"/>
      <c r="AM74" s="283"/>
      <c r="AN74" s="284"/>
      <c r="AO74" s="32"/>
      <c r="AP74" s="206"/>
      <c r="AQ74" s="205"/>
      <c r="AR74" s="206"/>
      <c r="AS74" s="342"/>
      <c r="AT74" s="343"/>
    </row>
    <row r="75" spans="1:46" s="1" customFormat="1" ht="15.75" thickBot="1" x14ac:dyDescent="0.3">
      <c r="X75" s="269">
        <f t="shared" ref="X75:AF75" si="50">SUM(X77+X80+X83+X86+X92+X95+X98+X101+X107+X110+X113+X116)</f>
        <v>1849600</v>
      </c>
      <c r="Y75" s="270">
        <f t="shared" si="50"/>
        <v>622996</v>
      </c>
      <c r="Z75" s="271">
        <f t="shared" si="50"/>
        <v>63517</v>
      </c>
      <c r="AA75" s="269">
        <f t="shared" si="50"/>
        <v>12602641.039999999</v>
      </c>
      <c r="AB75" s="270">
        <f t="shared" si="50"/>
        <v>2810822.5</v>
      </c>
      <c r="AC75" s="271">
        <f t="shared" si="50"/>
        <v>413148</v>
      </c>
      <c r="AD75" s="269">
        <f t="shared" si="50"/>
        <v>7143714.2200000007</v>
      </c>
      <c r="AE75" s="270">
        <f t="shared" si="50"/>
        <v>2209340.5</v>
      </c>
      <c r="AF75" s="271">
        <f t="shared" si="50"/>
        <v>565383.68999999994</v>
      </c>
    </row>
    <row r="76" spans="1:46" ht="15.75" thickBot="1" x14ac:dyDescent="0.3">
      <c r="F76" s="618"/>
      <c r="J76" s="200"/>
      <c r="T76" s="34" t="s">
        <v>278</v>
      </c>
      <c r="U76" s="208" t="s">
        <v>109</v>
      </c>
      <c r="AB76" s="586"/>
      <c r="AF76" s="586"/>
    </row>
    <row r="77" spans="1:46" x14ac:dyDescent="0.25">
      <c r="E77" s="200" t="s">
        <v>101</v>
      </c>
      <c r="F77" s="619" t="s">
        <v>102</v>
      </c>
      <c r="G77" s="200" t="s">
        <v>103</v>
      </c>
      <c r="J77" s="200"/>
      <c r="P77" s="619" t="s">
        <v>145</v>
      </c>
      <c r="Q77" s="199"/>
      <c r="U77" s="1" t="s">
        <v>9</v>
      </c>
      <c r="X77" s="209">
        <f>SUMIFS($X$35:$X$73,$G$35:$G$73,$G$77,$P$35:$P$73,"SF 21-27 (taotletav raha)")</f>
        <v>0</v>
      </c>
      <c r="Y77" s="210">
        <f>SUMIFS($Y$35:$Y$73,$G$35:$G$73,$G$77,$P$35:$P$73,"SF 21-27 (taotletav raha)")</f>
        <v>0</v>
      </c>
      <c r="Z77" s="211">
        <f>SUMIFS($Z$35:$Z$73,$G$35:$G$73,$G$77,$P$35:$P$73,"SF 21-27 (taotletav raha)")</f>
        <v>0</v>
      </c>
      <c r="AA77" s="621">
        <f>SUMIFS($AA$35:$AA$73,$G$35:$G$73,$G$77,$P$35:$P$73,"SF 21-27 (taotletav raha)")</f>
        <v>2551280</v>
      </c>
      <c r="AB77" s="622">
        <f>SUMIFS($AB$35:$AB$73,$G$35:$G$73,$G$77,$P$35:$P$73,"SF 21-27 (taotletav raha)")</f>
        <v>587918</v>
      </c>
      <c r="AC77" s="623">
        <f>SUMIFS($AC$35:$AC$73,$G$35:$G$73,$G$77,$P$35:$P$73,"SF 21-27 (taotletav raha)")</f>
        <v>0</v>
      </c>
      <c r="AD77" s="624">
        <f>SUMIFS($AD$35:$AD$73,$G$35:$G$73,$G$77,$P$35:$P$73,"SF 21-27 (taotletav raha)")</f>
        <v>3774676</v>
      </c>
      <c r="AE77" s="622">
        <f>SUMIFS($AE$35:$AE$73,$G$35:$G$73,$G$77,$P$35:$P$73,"SF 21-27 (taotletav raha)")</f>
        <v>921405</v>
      </c>
      <c r="AF77" s="623">
        <f>SUMIFS($AF$35:$AF$73,$G$35:$G$73,$G$77,$P$35:$P$73,"SF 21-27 (taotletav raha)")</f>
        <v>0</v>
      </c>
    </row>
    <row r="78" spans="1:46" ht="15.75" thickBot="1" x14ac:dyDescent="0.3">
      <c r="E78" s="200" t="s">
        <v>279</v>
      </c>
      <c r="F78" s="619" t="s">
        <v>280</v>
      </c>
      <c r="G78" s="200" t="s">
        <v>253</v>
      </c>
      <c r="J78" s="200"/>
      <c r="P78" s="619" t="s">
        <v>141</v>
      </c>
      <c r="Q78" s="199"/>
      <c r="U78" s="212" t="s">
        <v>281</v>
      </c>
      <c r="V78" s="212"/>
      <c r="W78" s="212"/>
      <c r="X78" s="207">
        <f>X77*1.2</f>
        <v>0</v>
      </c>
      <c r="Y78" s="113">
        <f>Y77</f>
        <v>0</v>
      </c>
      <c r="Z78" s="114">
        <f>Z77*1.2</f>
        <v>0</v>
      </c>
      <c r="AA78" s="625">
        <f>AA77*1.22</f>
        <v>3112561.6</v>
      </c>
      <c r="AB78" s="626">
        <f t="shared" ref="AB78" si="51">AB77</f>
        <v>587918</v>
      </c>
      <c r="AC78" s="627">
        <f t="shared" ref="AC78" si="52">AC77*1.22</f>
        <v>0</v>
      </c>
      <c r="AD78" s="625">
        <f>AD77*1.22</f>
        <v>4605104.72</v>
      </c>
      <c r="AE78" s="626">
        <f t="shared" ref="AE78" si="53">AE77</f>
        <v>921405</v>
      </c>
      <c r="AF78" s="627">
        <f t="shared" ref="AF78" si="54">AF77*1.22</f>
        <v>0</v>
      </c>
    </row>
    <row r="79" spans="1:46" ht="15.75" thickBot="1" x14ac:dyDescent="0.3">
      <c r="E79" s="200" t="s">
        <v>251</v>
      </c>
      <c r="F79" s="619" t="s">
        <v>118</v>
      </c>
      <c r="G79" s="200" t="s">
        <v>127</v>
      </c>
      <c r="J79" s="200"/>
      <c r="P79" s="619" t="s">
        <v>258</v>
      </c>
      <c r="Q79" s="199"/>
      <c r="X79" s="213"/>
      <c r="Y79" s="213"/>
      <c r="Z79" s="213"/>
    </row>
    <row r="80" spans="1:46" x14ac:dyDescent="0.25">
      <c r="F80" s="619" t="s">
        <v>206</v>
      </c>
      <c r="G80" s="200" t="s">
        <v>139</v>
      </c>
      <c r="J80" s="200"/>
      <c r="P80" s="619" t="s">
        <v>282</v>
      </c>
      <c r="Q80" s="199"/>
      <c r="U80" s="1" t="s">
        <v>10</v>
      </c>
      <c r="X80" s="209">
        <f>SUMIFS(X35:X73,G35:G73,$G$78,P35:P73,"SF 21-27 (taotletav raha)")</f>
        <v>0</v>
      </c>
      <c r="Y80" s="210">
        <f>SUMIFS(Y35:Y73,G35:G73,$G$78,P35:P73,"SF 21-27 (taotletav raha)")</f>
        <v>0</v>
      </c>
      <c r="Z80" s="211">
        <f>SUMIFS(Z35:Z73,G35:G73,$G$78,P35:P73,"SF 21-27 (taotletav raha)")</f>
        <v>0</v>
      </c>
      <c r="AA80" s="624">
        <f>SUMIFS(AA35:AA73,G35:G73,$G$78,P35:P73,"SF 21-27 (taotletav raha)")</f>
        <v>0</v>
      </c>
      <c r="AB80" s="622">
        <f>SUMIFS(AB35:AB73,G35:G73,$G$78,P35:P73,"SF 21-27 (taotletav raha)")</f>
        <v>0</v>
      </c>
      <c r="AC80" s="623">
        <f>SUMIFS(AC35:AC73,G35:G73,$G$78,P35:P73,"SF 21-27 (taotletav raha)")</f>
        <v>0</v>
      </c>
      <c r="AD80" s="624">
        <f>SUMIFS(AD35:AD73,G35:G73,$G$78,P35:P73,"SF 21-27 (taotletav raha)")</f>
        <v>0</v>
      </c>
      <c r="AE80" s="622">
        <f>SUMIFS(AE35:AE73,G35:G73,$G$78,P35:P73,"SF 21-27 (taotletav raha)")</f>
        <v>0</v>
      </c>
      <c r="AF80" s="623">
        <f>SUMIFS(AF35:AF73,G35:G73,$G$78,P35:P73,"SF 21-27 (taotletav raha)")</f>
        <v>0</v>
      </c>
    </row>
    <row r="81" spans="6:32" ht="15.75" thickBot="1" x14ac:dyDescent="0.3">
      <c r="F81" s="619" t="s">
        <v>163</v>
      </c>
      <c r="J81" s="200"/>
      <c r="P81" s="619" t="s">
        <v>20</v>
      </c>
      <c r="Q81" s="199"/>
      <c r="U81" s="212" t="s">
        <v>281</v>
      </c>
      <c r="X81" s="207">
        <f>X80*1.2</f>
        <v>0</v>
      </c>
      <c r="Y81" s="113">
        <f>Y80</f>
        <v>0</v>
      </c>
      <c r="Z81" s="114">
        <f>Z80*1.2</f>
        <v>0</v>
      </c>
      <c r="AA81" s="625">
        <f>AA80*1.22</f>
        <v>0</v>
      </c>
      <c r="AB81" s="626">
        <f t="shared" ref="AB81" si="55">AB80</f>
        <v>0</v>
      </c>
      <c r="AC81" s="627">
        <f t="shared" ref="AC81" si="56">AC80*1.22</f>
        <v>0</v>
      </c>
      <c r="AD81" s="625">
        <f>AD80*1.22</f>
        <v>0</v>
      </c>
      <c r="AE81" s="626">
        <f t="shared" ref="AE81" si="57">AE80</f>
        <v>0</v>
      </c>
      <c r="AF81" s="627">
        <f t="shared" ref="AF81" si="58">AF80*1.22</f>
        <v>0</v>
      </c>
    </row>
    <row r="82" spans="6:32" ht="15.75" thickBot="1" x14ac:dyDescent="0.3">
      <c r="F82" s="619" t="s">
        <v>149</v>
      </c>
      <c r="J82" s="200"/>
      <c r="P82" s="619" t="s">
        <v>283</v>
      </c>
      <c r="Q82" s="199"/>
      <c r="X82" s="213"/>
      <c r="Y82" s="213"/>
      <c r="Z82" s="213"/>
    </row>
    <row r="83" spans="6:32" x14ac:dyDescent="0.25">
      <c r="F83" s="619" t="s">
        <v>284</v>
      </c>
      <c r="J83" s="200"/>
      <c r="K83" s="586"/>
      <c r="L83" s="586"/>
      <c r="M83" s="586"/>
      <c r="P83" s="619" t="s">
        <v>109</v>
      </c>
      <c r="U83" s="1" t="s">
        <v>285</v>
      </c>
      <c r="X83" s="209">
        <f>SUMIFS(X35:X73,G35:G73,$G$79,P35:P73,"SF 21-27 (taotletav raha)")</f>
        <v>0</v>
      </c>
      <c r="Y83" s="210">
        <f>SUMIFS(Y35:Y73,G35:G73,$G$79,P35:P73,"SF 21-27 (taotletav raha)")</f>
        <v>18646</v>
      </c>
      <c r="Z83" s="211">
        <f>SUMIFS(Z35:Z73,G35:G73,$G$79,P35:P73,"SF 21-27 (taotletav raha)")</f>
        <v>0</v>
      </c>
      <c r="AA83" s="624">
        <f>SUMIFS(AA35:AA73,G35:G73,$G$79,P35:P73,"SF 21-27 (taotletav raha)")</f>
        <v>0</v>
      </c>
      <c r="AB83" s="622">
        <f>SUMIFS(AB35:AB73,G35:G73,$G$79,P35:P73,"SF 21-27 (taotletav raha)")</f>
        <v>80280</v>
      </c>
      <c r="AC83" s="623">
        <f>SUMIFS(AC35:AC73,G35:G73,$G$79,P35:P73,"SF 21-27 (taotletav raha)")</f>
        <v>180000</v>
      </c>
      <c r="AD83" s="624">
        <f>SUMIFS(AD35:AD73,G35:G73,$G$79,P35:P73,"SF 21-27 (taotletav raha)")</f>
        <v>0</v>
      </c>
      <c r="AE83" s="622">
        <f>SUMIFS(AE35:AE73,G35:G73,$G$79,P35:P73,"SF 21-27 (taotletav raha)")</f>
        <v>80280</v>
      </c>
      <c r="AF83" s="623">
        <f>SUMIFS(AF35:AF73,G35:G73,$G$79,P35:P73,"SF 21-27 (taotletav raha)")</f>
        <v>0</v>
      </c>
    </row>
    <row r="84" spans="6:32" ht="15.75" thickBot="1" x14ac:dyDescent="0.3">
      <c r="F84" s="619" t="s">
        <v>157</v>
      </c>
      <c r="J84" s="200"/>
      <c r="K84" s="586"/>
      <c r="L84" s="586"/>
      <c r="U84" s="212" t="s">
        <v>281</v>
      </c>
      <c r="X84" s="207">
        <f>X83*1.2</f>
        <v>0</v>
      </c>
      <c r="Y84" s="113">
        <f>Y83</f>
        <v>18646</v>
      </c>
      <c r="Z84" s="114">
        <f>Z83*1.2</f>
        <v>0</v>
      </c>
      <c r="AA84" s="625">
        <f>AA83*1.22</f>
        <v>0</v>
      </c>
      <c r="AB84" s="626">
        <f t="shared" ref="AB84" si="59">AB83</f>
        <v>80280</v>
      </c>
      <c r="AC84" s="627">
        <f t="shared" ref="AC84" si="60">AC83*1.22</f>
        <v>219600</v>
      </c>
      <c r="AD84" s="625">
        <f>AD83*1.22</f>
        <v>0</v>
      </c>
      <c r="AE84" s="626">
        <f t="shared" ref="AE84" si="61">AE83</f>
        <v>80280</v>
      </c>
      <c r="AF84" s="627">
        <f t="shared" ref="AF84" si="62">AF83*1.22</f>
        <v>0</v>
      </c>
    </row>
    <row r="85" spans="6:32" ht="15.75" thickBot="1" x14ac:dyDescent="0.3">
      <c r="F85" s="619" t="s">
        <v>286</v>
      </c>
      <c r="J85" s="200"/>
      <c r="K85" s="586"/>
      <c r="L85" s="586"/>
      <c r="X85" s="213"/>
      <c r="Y85" s="213"/>
      <c r="Z85" s="213"/>
    </row>
    <row r="86" spans="6:32" x14ac:dyDescent="0.25">
      <c r="F86" s="619" t="s">
        <v>287</v>
      </c>
      <c r="J86" s="200"/>
      <c r="K86" s="586"/>
      <c r="L86" s="586"/>
      <c r="U86" s="1" t="s">
        <v>12</v>
      </c>
      <c r="X86" s="209">
        <f>SUMIFS(X35:X73,G35:G73,$G$80,P35:P73,"SF 21-27 (taotletav raha)")</f>
        <v>0</v>
      </c>
      <c r="Y86" s="210">
        <f>SUMIFS(Y35:Y73,G35:G73,$G$80,P35:P73,"SF 21-27 (taotletav raha)")</f>
        <v>0</v>
      </c>
      <c r="Z86" s="211">
        <f>SUMIFS(Z35:Z73,G35:G73,$G$80,P35:P73,"SF 21-27 (taotletav raha)")</f>
        <v>0</v>
      </c>
      <c r="AA86" s="624">
        <f>SUMIFS(AA35:AA73,G35:G73,$G$80,P35:P73,"SF 21-27 (taotletav raha)")</f>
        <v>0</v>
      </c>
      <c r="AB86" s="622">
        <f>SUMIFS(AB35:AB73,G35:G73,$G$80,P35:P73,"SF 21-27 (taotletav raha)")</f>
        <v>63936</v>
      </c>
      <c r="AC86" s="623">
        <f>SUMIFS(AC35:AC73,G35:G73,$G$80,P35:P73,"SF 21-27 (taotletav raha)")</f>
        <v>120000</v>
      </c>
      <c r="AD86" s="624">
        <f>SUMIFS(AD35:AD73,G35:G73,$G$80,P35:P73,"SF 21-27 (taotletav raha)")</f>
        <v>0</v>
      </c>
      <c r="AE86" s="622">
        <f>SUMIFS(AE35:AE73,G35:G73,$G$80,P35:P73,"SF 21-27 (taotletav raha)")</f>
        <v>114000</v>
      </c>
      <c r="AF86" s="623">
        <f>SUMIFS(AF35:AF73,G35:G73,$G$80,P35:P73,"SF 21-27 (taotletav raha)")</f>
        <v>90000</v>
      </c>
    </row>
    <row r="87" spans="6:32" ht="15.75" thickBot="1" x14ac:dyDescent="0.3">
      <c r="F87" s="619" t="s">
        <v>126</v>
      </c>
      <c r="J87" s="200"/>
      <c r="U87" s="212" t="s">
        <v>281</v>
      </c>
      <c r="X87" s="207">
        <f>X86*1.2</f>
        <v>0</v>
      </c>
      <c r="Y87" s="113">
        <f>Y86</f>
        <v>0</v>
      </c>
      <c r="Z87" s="114">
        <f>Z86*1.2</f>
        <v>0</v>
      </c>
      <c r="AA87" s="625">
        <f>AA86*1.22</f>
        <v>0</v>
      </c>
      <c r="AB87" s="626">
        <f t="shared" ref="AB87" si="63">AB86</f>
        <v>63936</v>
      </c>
      <c r="AC87" s="627">
        <f t="shared" ref="AC87" si="64">AC86*1.22</f>
        <v>146400</v>
      </c>
      <c r="AD87" s="625">
        <f>AD86*1.22</f>
        <v>0</v>
      </c>
      <c r="AE87" s="626">
        <f t="shared" ref="AE87" si="65">AE86</f>
        <v>114000</v>
      </c>
      <c r="AF87" s="627">
        <f t="shared" ref="AF87" si="66">AF86*1.22</f>
        <v>109800</v>
      </c>
    </row>
    <row r="88" spans="6:32" x14ac:dyDescent="0.25">
      <c r="F88" s="619" t="s">
        <v>288</v>
      </c>
      <c r="J88" s="200"/>
      <c r="K88" s="586"/>
      <c r="L88" s="586"/>
    </row>
    <row r="89" spans="6:32" x14ac:dyDescent="0.25">
      <c r="F89" s="619" t="s">
        <v>289</v>
      </c>
      <c r="J89" s="200"/>
      <c r="K89" s="586"/>
      <c r="L89" s="586"/>
    </row>
    <row r="90" spans="6:32" x14ac:dyDescent="0.25">
      <c r="F90" s="619" t="s">
        <v>290</v>
      </c>
      <c r="J90" s="200"/>
      <c r="K90" s="586"/>
      <c r="L90" s="586"/>
    </row>
    <row r="91" spans="6:32" ht="15.75" thickBot="1" x14ac:dyDescent="0.3">
      <c r="F91" s="619" t="s">
        <v>291</v>
      </c>
      <c r="J91" s="200"/>
      <c r="K91" s="586"/>
      <c r="L91" s="586"/>
      <c r="U91" s="208" t="s">
        <v>292</v>
      </c>
    </row>
    <row r="92" spans="6:32" x14ac:dyDescent="0.25">
      <c r="F92" s="619" t="s">
        <v>293</v>
      </c>
      <c r="J92" s="200"/>
      <c r="K92" s="586"/>
      <c r="L92" s="586"/>
      <c r="U92" s="1" t="s">
        <v>9</v>
      </c>
      <c r="X92" s="209">
        <f t="shared" ref="X92:AF92" si="67">SUMIFS(X$35:X$73, $G$35:$G$73, $G$77, $P$35:$P$73, "Baaseelarve")+SUMIFS(X$35:X$73, $G$35:$G$73, $G$77, $P$35:$P$73, "Muu rahastus")+SUMIFS(X$35:X$73, $G$35:$G$73, $G$77, $P$35:$P$73, "Reserv (SR)")+SUMIFS(X$35:X$73, $G$35:$G$73, $G$77, $P$35:$P$73, "RRF")+SUMIFS(X$35:X$73, $G$35:$G$73, $G$77, $P$35:$P$73, "SF 14-20 (töös olev projekt)")</f>
        <v>0</v>
      </c>
      <c r="Y92" s="210">
        <f t="shared" si="67"/>
        <v>0</v>
      </c>
      <c r="Z92" s="481">
        <f t="shared" si="67"/>
        <v>0</v>
      </c>
      <c r="AA92" s="621">
        <f t="shared" si="67"/>
        <v>0</v>
      </c>
      <c r="AB92" s="628">
        <f t="shared" si="67"/>
        <v>0</v>
      </c>
      <c r="AC92" s="629">
        <f t="shared" si="67"/>
        <v>0</v>
      </c>
      <c r="AD92" s="630">
        <f t="shared" si="67"/>
        <v>0</v>
      </c>
      <c r="AE92" s="628">
        <f t="shared" si="67"/>
        <v>0</v>
      </c>
      <c r="AF92" s="629">
        <f t="shared" si="67"/>
        <v>0</v>
      </c>
    </row>
    <row r="93" spans="6:32" ht="15.75" thickBot="1" x14ac:dyDescent="0.3">
      <c r="F93" s="619" t="s">
        <v>294</v>
      </c>
      <c r="J93" s="200"/>
      <c r="K93" s="586"/>
      <c r="L93" s="586"/>
      <c r="U93" s="212" t="s">
        <v>281</v>
      </c>
      <c r="X93" s="207">
        <f>X92*1.2</f>
        <v>0</v>
      </c>
      <c r="Y93" s="113">
        <f>Y92</f>
        <v>0</v>
      </c>
      <c r="Z93" s="482">
        <f>Z92*1.2</f>
        <v>0</v>
      </c>
      <c r="AA93" s="625">
        <f>AA92*1.22</f>
        <v>0</v>
      </c>
      <c r="AB93" s="626">
        <f t="shared" ref="AB93" si="68">AB92</f>
        <v>0</v>
      </c>
      <c r="AC93" s="627">
        <f t="shared" ref="AC93" si="69">AC92*1.22</f>
        <v>0</v>
      </c>
      <c r="AD93" s="631">
        <f>AD92*1.22</f>
        <v>0</v>
      </c>
      <c r="AE93" s="626">
        <f t="shared" ref="AE93" si="70">AE92</f>
        <v>0</v>
      </c>
      <c r="AF93" s="627">
        <f t="shared" ref="AF93" si="71">AF92*1.22</f>
        <v>0</v>
      </c>
    </row>
    <row r="94" spans="6:32" ht="15.75" thickBot="1" x14ac:dyDescent="0.3">
      <c r="F94" s="619" t="s">
        <v>295</v>
      </c>
      <c r="J94" s="200"/>
      <c r="K94" s="586"/>
      <c r="L94" s="586"/>
      <c r="X94" s="213"/>
      <c r="Y94" s="213"/>
      <c r="Z94" s="213"/>
      <c r="AA94" s="586"/>
      <c r="AB94" s="586"/>
      <c r="AC94" s="586"/>
      <c r="AD94" s="586"/>
      <c r="AE94" s="586"/>
      <c r="AF94" s="586"/>
    </row>
    <row r="95" spans="6:32" x14ac:dyDescent="0.25">
      <c r="F95" s="619" t="s">
        <v>252</v>
      </c>
      <c r="J95" s="200"/>
      <c r="U95" s="1" t="s">
        <v>10</v>
      </c>
      <c r="X95" s="209">
        <f t="shared" ref="X95:AF95" si="72">SUMIFS(X$35:X$73, $G$35:$G$73, $G$78, $P$35:$P$73, "Baaseelarve")+SUMIFS(X$35:X$73, $G$35:$G$73, $G$78, $P$35:$P$73, "Muu rahastus")+SUMIFS(X$35:X$73, $G$35:$G$73, $G$78, $P$35:$P$73, "Reserv (SR)")+SUMIFS(X$35:X$73, $G$35:$G$73, $G$78, $P$35:$P$73, "RRF")+SUMIFS(X$35:X$73, $G$35:$G$73, $G$78, $P$35:$P$73, "SF 14-20 (töös olev projekt)")</f>
        <v>0</v>
      </c>
      <c r="Y95" s="210">
        <f t="shared" si="72"/>
        <v>0</v>
      </c>
      <c r="Z95" s="481">
        <f t="shared" si="72"/>
        <v>0</v>
      </c>
      <c r="AA95" s="621">
        <f t="shared" si="72"/>
        <v>0</v>
      </c>
      <c r="AB95" s="628">
        <f t="shared" si="72"/>
        <v>0</v>
      </c>
      <c r="AC95" s="629">
        <f t="shared" si="72"/>
        <v>0</v>
      </c>
      <c r="AD95" s="630">
        <f t="shared" si="72"/>
        <v>0</v>
      </c>
      <c r="AE95" s="628">
        <f t="shared" si="72"/>
        <v>0</v>
      </c>
      <c r="AF95" s="629">
        <f t="shared" si="72"/>
        <v>0</v>
      </c>
    </row>
    <row r="96" spans="6:32" ht="15.75" thickBot="1" x14ac:dyDescent="0.3">
      <c r="I96" s="620"/>
      <c r="J96" s="200"/>
      <c r="U96" s="212" t="s">
        <v>281</v>
      </c>
      <c r="X96" s="207">
        <f>X95*1.2</f>
        <v>0</v>
      </c>
      <c r="Y96" s="113">
        <f>Y95</f>
        <v>0</v>
      </c>
      <c r="Z96" s="482">
        <f>Z95*1.2</f>
        <v>0</v>
      </c>
      <c r="AA96" s="625">
        <f>AA95*1.22</f>
        <v>0</v>
      </c>
      <c r="AB96" s="626">
        <f t="shared" ref="AB96" si="73">AB95</f>
        <v>0</v>
      </c>
      <c r="AC96" s="627">
        <f t="shared" ref="AC96" si="74">AC95*1.22</f>
        <v>0</v>
      </c>
      <c r="AD96" s="631">
        <f>AD95*1.22</f>
        <v>0</v>
      </c>
      <c r="AE96" s="626">
        <f t="shared" ref="AE96" si="75">AE95</f>
        <v>0</v>
      </c>
      <c r="AF96" s="627">
        <f t="shared" ref="AF96" si="76">AF95*1.22</f>
        <v>0</v>
      </c>
    </row>
    <row r="97" spans="8:32" ht="15.75" thickBot="1" x14ac:dyDescent="0.3">
      <c r="H97" s="620"/>
      <c r="J97" s="200"/>
      <c r="X97" s="213"/>
      <c r="Y97" s="213"/>
      <c r="Z97" s="213"/>
      <c r="AA97" s="586"/>
      <c r="AB97" s="586"/>
      <c r="AC97" s="586"/>
      <c r="AD97" s="586"/>
      <c r="AE97" s="586"/>
      <c r="AF97" s="586"/>
    </row>
    <row r="98" spans="8:32" x14ac:dyDescent="0.25">
      <c r="U98" s="1" t="s">
        <v>285</v>
      </c>
      <c r="X98" s="209">
        <f t="shared" ref="X98:AF98" si="77">SUMIFS(X$35:X$73, $G$35:$G$73, $G$79, $P$35:$P$73, "Baaseelarve")+SUMIFS(X$35:X$73, $G$35:$G$73, $G$79, $P$35:$P$73, "Muu rahastus")+SUMIFS(X$35:X$73, $G$35:$G$73, $G$79, $P$35:$P$73, "Reserv (SR)")+SUMIFS(X$35:X$73, $G$35:$G$73, $G$79, $P$35:$P$73, "RRF")+SUMIFS(X$35:X$73, $G$35:$G$73, $G$79, $P$35:$P$73, "SF 14-20 (töös olev projekt)")</f>
        <v>0</v>
      </c>
      <c r="Y98" s="210">
        <f t="shared" si="77"/>
        <v>0</v>
      </c>
      <c r="Z98" s="481">
        <f t="shared" si="77"/>
        <v>0</v>
      </c>
      <c r="AA98" s="621">
        <f t="shared" si="77"/>
        <v>0</v>
      </c>
      <c r="AB98" s="628">
        <f t="shared" si="77"/>
        <v>0</v>
      </c>
      <c r="AC98" s="629">
        <f t="shared" si="77"/>
        <v>0</v>
      </c>
      <c r="AD98" s="630">
        <f t="shared" si="77"/>
        <v>0</v>
      </c>
      <c r="AE98" s="628">
        <f t="shared" si="77"/>
        <v>0</v>
      </c>
      <c r="AF98" s="629">
        <f t="shared" si="77"/>
        <v>0</v>
      </c>
    </row>
    <row r="99" spans="8:32" ht="15.75" thickBot="1" x14ac:dyDescent="0.3">
      <c r="U99" s="212" t="s">
        <v>281</v>
      </c>
      <c r="X99" s="207">
        <f>X98*1.2</f>
        <v>0</v>
      </c>
      <c r="Y99" s="113">
        <f>Y98</f>
        <v>0</v>
      </c>
      <c r="Z99" s="482">
        <f>Z98*1.2</f>
        <v>0</v>
      </c>
      <c r="AA99" s="625">
        <f>AA98*1.22</f>
        <v>0</v>
      </c>
      <c r="AB99" s="626">
        <f t="shared" ref="AB99" si="78">AB98</f>
        <v>0</v>
      </c>
      <c r="AC99" s="627">
        <f t="shared" ref="AC99" si="79">AC98*1.22</f>
        <v>0</v>
      </c>
      <c r="AD99" s="631">
        <f>AD98*1.22</f>
        <v>0</v>
      </c>
      <c r="AE99" s="626">
        <f t="shared" ref="AE99" si="80">AE98</f>
        <v>0</v>
      </c>
      <c r="AF99" s="627">
        <f t="shared" ref="AF99" si="81">AF98*1.22</f>
        <v>0</v>
      </c>
    </row>
    <row r="100" spans="8:32" ht="15.75" thickBot="1" x14ac:dyDescent="0.3">
      <c r="X100" s="213"/>
      <c r="Y100" s="213"/>
      <c r="Z100" s="213"/>
      <c r="AA100" s="586"/>
      <c r="AB100" s="586"/>
      <c r="AC100" s="586"/>
      <c r="AD100" s="586"/>
      <c r="AE100" s="586"/>
      <c r="AF100" s="586"/>
    </row>
    <row r="101" spans="8:32" x14ac:dyDescent="0.25">
      <c r="U101" s="1" t="s">
        <v>12</v>
      </c>
      <c r="X101" s="209">
        <f t="shared" ref="X101:AF101" si="82">SUMIFS(X$35:X$73, $G$35:$G$73, $G$80, $P$35:$P$73, "Baaseelarve")+SUMIFS(X$35:X$73, $G$35:$G$73, $G$80, $P$35:$P$73, "Muu rahastus")+SUMIFS(X$35:X$73, $G$35:$G$73, $G$80, $P$35:$P$73, "Reserv (SR)")+SUMIFS(X$35:X$73, $G$35:$G$73, $G$80, $P$35:$P$73, "RRF")+SUMIFS(X$35:X$73, $G$35:$G$73, $G$80, $P$35:$P$73, "SF 14-20 (töös olev projekt)")</f>
        <v>1849600</v>
      </c>
      <c r="Y101" s="210">
        <f t="shared" si="82"/>
        <v>604350</v>
      </c>
      <c r="Z101" s="481">
        <f t="shared" si="82"/>
        <v>63517</v>
      </c>
      <c r="AA101" s="621">
        <f t="shared" si="82"/>
        <v>10051361.039999999</v>
      </c>
      <c r="AB101" s="628">
        <f t="shared" si="82"/>
        <v>2078688.5</v>
      </c>
      <c r="AC101" s="629">
        <f t="shared" si="82"/>
        <v>113148</v>
      </c>
      <c r="AD101" s="630">
        <f t="shared" si="82"/>
        <v>2872038.22</v>
      </c>
      <c r="AE101" s="628">
        <f t="shared" si="82"/>
        <v>931855.5</v>
      </c>
      <c r="AF101" s="629">
        <f t="shared" si="82"/>
        <v>211483.69</v>
      </c>
    </row>
    <row r="102" spans="8:32" ht="15.75" thickBot="1" x14ac:dyDescent="0.3">
      <c r="U102" s="212" t="s">
        <v>281</v>
      </c>
      <c r="X102" s="207">
        <f>X101*1.2</f>
        <v>2219520</v>
      </c>
      <c r="Y102" s="113">
        <f>Y101</f>
        <v>604350</v>
      </c>
      <c r="Z102" s="482">
        <f>Z101*1.2</f>
        <v>76220.399999999994</v>
      </c>
      <c r="AA102" s="625">
        <f>AA101*1.22</f>
        <v>12262660.468799999</v>
      </c>
      <c r="AB102" s="626">
        <f t="shared" ref="AB102" si="83">AB101</f>
        <v>2078688.5</v>
      </c>
      <c r="AC102" s="627">
        <f t="shared" ref="AC102" si="84">AC101*1.22</f>
        <v>138040.56</v>
      </c>
      <c r="AD102" s="631">
        <f>AD101*1.22</f>
        <v>3503886.6284000003</v>
      </c>
      <c r="AE102" s="626">
        <f t="shared" ref="AE102" si="85">AE101</f>
        <v>931855.5</v>
      </c>
      <c r="AF102" s="627">
        <f t="shared" ref="AF102" si="86">AF101*1.22</f>
        <v>258010.1018</v>
      </c>
    </row>
    <row r="103" spans="8:32" x14ac:dyDescent="0.25">
      <c r="X103" s="213"/>
      <c r="Y103" s="213"/>
      <c r="Z103" s="213"/>
      <c r="AA103" s="586"/>
      <c r="AB103" s="586"/>
      <c r="AC103" s="586"/>
      <c r="AD103" s="586"/>
      <c r="AE103" s="586"/>
      <c r="AF103" s="586"/>
    </row>
    <row r="104" spans="8:32" x14ac:dyDescent="0.25">
      <c r="X104" s="213"/>
      <c r="Y104" s="213"/>
      <c r="Z104" s="213"/>
      <c r="AA104" s="586"/>
      <c r="AB104" s="586"/>
      <c r="AC104" s="586"/>
      <c r="AD104" s="586"/>
      <c r="AE104" s="586"/>
      <c r="AF104" s="586"/>
    </row>
    <row r="105" spans="8:32" x14ac:dyDescent="0.25">
      <c r="X105" s="213"/>
      <c r="Y105" s="213"/>
      <c r="Z105" s="213"/>
      <c r="AA105" s="586"/>
      <c r="AB105" s="586"/>
      <c r="AC105" s="586"/>
      <c r="AD105" s="586"/>
      <c r="AE105" s="586"/>
      <c r="AF105" s="586"/>
    </row>
    <row r="106" spans="8:32" ht="15.75" thickBot="1" x14ac:dyDescent="0.3">
      <c r="U106" s="208" t="s">
        <v>258</v>
      </c>
    </row>
    <row r="107" spans="8:32" x14ac:dyDescent="0.25">
      <c r="U107" s="1" t="s">
        <v>9</v>
      </c>
      <c r="X107" s="209">
        <f t="shared" ref="X107:AF107" si="87">SUMIFS(X$35:X$73,$G$35:$G$73,$G$77,$P$35:$P$73,$P$79)</f>
        <v>0</v>
      </c>
      <c r="Y107" s="210">
        <f t="shared" si="87"/>
        <v>0</v>
      </c>
      <c r="Z107" s="481">
        <f t="shared" si="87"/>
        <v>0</v>
      </c>
      <c r="AA107" s="621">
        <f t="shared" si="87"/>
        <v>0</v>
      </c>
      <c r="AB107" s="628">
        <f t="shared" si="87"/>
        <v>0</v>
      </c>
      <c r="AC107" s="629">
        <f t="shared" si="87"/>
        <v>0</v>
      </c>
      <c r="AD107" s="630">
        <f t="shared" si="87"/>
        <v>0</v>
      </c>
      <c r="AE107" s="628">
        <f t="shared" si="87"/>
        <v>0</v>
      </c>
      <c r="AF107" s="629">
        <f t="shared" si="87"/>
        <v>0</v>
      </c>
    </row>
    <row r="108" spans="8:32" ht="15.75" thickBot="1" x14ac:dyDescent="0.3">
      <c r="U108" s="212" t="s">
        <v>281</v>
      </c>
      <c r="X108" s="207">
        <f>X107*1.2</f>
        <v>0</v>
      </c>
      <c r="Y108" s="113">
        <f>Y107</f>
        <v>0</v>
      </c>
      <c r="Z108" s="482">
        <f>Z107*1.2</f>
        <v>0</v>
      </c>
      <c r="AA108" s="625">
        <f>AA107*1.22</f>
        <v>0</v>
      </c>
      <c r="AB108" s="626">
        <f t="shared" ref="AB108" si="88">AB107</f>
        <v>0</v>
      </c>
      <c r="AC108" s="627">
        <f t="shared" ref="AC108" si="89">AC107*1.22</f>
        <v>0</v>
      </c>
      <c r="AD108" s="631">
        <f>AD107*1.22</f>
        <v>0</v>
      </c>
      <c r="AE108" s="626">
        <f t="shared" ref="AE108" si="90">AE107</f>
        <v>0</v>
      </c>
      <c r="AF108" s="627">
        <f t="shared" ref="AF108" si="91">AF107*1.22</f>
        <v>0</v>
      </c>
    </row>
    <row r="109" spans="8:32" ht="15.75" thickBot="1" x14ac:dyDescent="0.3">
      <c r="X109" s="213"/>
      <c r="Y109" s="213"/>
      <c r="Z109" s="213"/>
      <c r="AA109" s="586"/>
      <c r="AB109" s="586"/>
      <c r="AC109" s="586"/>
      <c r="AD109" s="586"/>
      <c r="AE109" s="586"/>
      <c r="AF109" s="586"/>
    </row>
    <row r="110" spans="8:32" x14ac:dyDescent="0.25">
      <c r="U110" s="1" t="s">
        <v>10</v>
      </c>
      <c r="X110" s="209">
        <f t="shared" ref="X110:AF110" si="92">SUMIFS(X$35:X$73,$G$35:$G$73,$G$78,$P$35:$P$73,$P$79)</f>
        <v>0</v>
      </c>
      <c r="Y110" s="210">
        <f t="shared" si="92"/>
        <v>0</v>
      </c>
      <c r="Z110" s="481">
        <f t="shared" si="92"/>
        <v>0</v>
      </c>
      <c r="AA110" s="621">
        <f t="shared" si="92"/>
        <v>0</v>
      </c>
      <c r="AB110" s="628">
        <f t="shared" si="92"/>
        <v>0</v>
      </c>
      <c r="AC110" s="629">
        <f t="shared" si="92"/>
        <v>0</v>
      </c>
      <c r="AD110" s="630">
        <f t="shared" si="92"/>
        <v>497000</v>
      </c>
      <c r="AE110" s="628">
        <f t="shared" si="92"/>
        <v>161800</v>
      </c>
      <c r="AF110" s="629">
        <f t="shared" si="92"/>
        <v>263900</v>
      </c>
    </row>
    <row r="111" spans="8:32" ht="15.75" thickBot="1" x14ac:dyDescent="0.3">
      <c r="U111" s="212" t="s">
        <v>281</v>
      </c>
      <c r="X111" s="207">
        <f>X110*1.2</f>
        <v>0</v>
      </c>
      <c r="Y111" s="113">
        <f>Y110</f>
        <v>0</v>
      </c>
      <c r="Z111" s="482">
        <f>Z110*1.2</f>
        <v>0</v>
      </c>
      <c r="AA111" s="625">
        <f>AA110*1.22</f>
        <v>0</v>
      </c>
      <c r="AB111" s="626">
        <f t="shared" ref="AB111" si="93">AB110</f>
        <v>0</v>
      </c>
      <c r="AC111" s="627">
        <f t="shared" ref="AC111" si="94">AC110*1.22</f>
        <v>0</v>
      </c>
      <c r="AD111" s="631">
        <f>AD110*1.22</f>
        <v>606340</v>
      </c>
      <c r="AE111" s="626">
        <f t="shared" ref="AE111" si="95">AE110</f>
        <v>161800</v>
      </c>
      <c r="AF111" s="627">
        <f t="shared" ref="AF111" si="96">AF110*1.22</f>
        <v>321958</v>
      </c>
    </row>
    <row r="112" spans="8:32" ht="15.75" thickBot="1" x14ac:dyDescent="0.3">
      <c r="X112" s="213"/>
      <c r="Y112" s="213"/>
      <c r="Z112" s="213"/>
      <c r="AA112" s="586"/>
      <c r="AB112" s="586"/>
      <c r="AC112" s="586"/>
      <c r="AD112" s="586"/>
      <c r="AE112" s="586"/>
      <c r="AF112" s="586"/>
    </row>
    <row r="113" spans="20:32" x14ac:dyDescent="0.25">
      <c r="U113" s="1" t="s">
        <v>285</v>
      </c>
      <c r="X113" s="209">
        <f t="shared" ref="X113:AF113" si="97">SUMIFS(X$35:X$73,$G$35:$G$73,$G$79,$P$35:$P$73,$P$79)</f>
        <v>0</v>
      </c>
      <c r="Y113" s="210">
        <f t="shared" si="97"/>
        <v>0</v>
      </c>
      <c r="Z113" s="481">
        <f t="shared" si="97"/>
        <v>0</v>
      </c>
      <c r="AA113" s="621">
        <f t="shared" si="97"/>
        <v>0</v>
      </c>
      <c r="AB113" s="628">
        <f t="shared" si="97"/>
        <v>0</v>
      </c>
      <c r="AC113" s="629">
        <f t="shared" si="97"/>
        <v>0</v>
      </c>
      <c r="AD113" s="630">
        <f t="shared" si="97"/>
        <v>0</v>
      </c>
      <c r="AE113" s="628">
        <f t="shared" si="97"/>
        <v>0</v>
      </c>
      <c r="AF113" s="629">
        <f t="shared" si="97"/>
        <v>0</v>
      </c>
    </row>
    <row r="114" spans="20:32" ht="15.75" thickBot="1" x14ac:dyDescent="0.3">
      <c r="U114" s="212" t="s">
        <v>281</v>
      </c>
      <c r="X114" s="207">
        <f>X113*1.2</f>
        <v>0</v>
      </c>
      <c r="Y114" s="113">
        <f>Y113</f>
        <v>0</v>
      </c>
      <c r="Z114" s="482">
        <f>Z113*1.2</f>
        <v>0</v>
      </c>
      <c r="AA114" s="625">
        <f>AA113*1.22</f>
        <v>0</v>
      </c>
      <c r="AB114" s="626">
        <f t="shared" ref="AB114" si="98">AB113</f>
        <v>0</v>
      </c>
      <c r="AC114" s="627">
        <f t="shared" ref="AC114" si="99">AC113*1.22</f>
        <v>0</v>
      </c>
      <c r="AD114" s="631">
        <f>AD113*1.22</f>
        <v>0</v>
      </c>
      <c r="AE114" s="626">
        <f t="shared" ref="AE114" si="100">AE113</f>
        <v>0</v>
      </c>
      <c r="AF114" s="627">
        <f t="shared" ref="AF114" si="101">AF113*1.22</f>
        <v>0</v>
      </c>
    </row>
    <row r="115" spans="20:32" ht="15.75" thickBot="1" x14ac:dyDescent="0.3">
      <c r="X115" s="213"/>
      <c r="Y115" s="213"/>
      <c r="Z115" s="213"/>
      <c r="AA115" s="586"/>
      <c r="AB115" s="586"/>
      <c r="AC115" s="586"/>
      <c r="AD115" s="586"/>
      <c r="AE115" s="586"/>
      <c r="AF115" s="586"/>
    </row>
    <row r="116" spans="20:32" x14ac:dyDescent="0.25">
      <c r="U116" s="1" t="s">
        <v>12</v>
      </c>
      <c r="X116" s="209">
        <f t="shared" ref="X116:AF116" si="102">SUMIFS(X$35:X$73,$G$35:$G$73,$G$80,$P$35:$P$73,$P$79)</f>
        <v>0</v>
      </c>
      <c r="Y116" s="210">
        <f t="shared" si="102"/>
        <v>0</v>
      </c>
      <c r="Z116" s="481">
        <f t="shared" si="102"/>
        <v>0</v>
      </c>
      <c r="AA116" s="621">
        <f t="shared" si="102"/>
        <v>0</v>
      </c>
      <c r="AB116" s="628">
        <f t="shared" si="102"/>
        <v>0</v>
      </c>
      <c r="AC116" s="629">
        <f t="shared" si="102"/>
        <v>0</v>
      </c>
      <c r="AD116" s="630">
        <f t="shared" si="102"/>
        <v>0</v>
      </c>
      <c r="AE116" s="628">
        <f t="shared" si="102"/>
        <v>0</v>
      </c>
      <c r="AF116" s="629">
        <f t="shared" si="102"/>
        <v>0</v>
      </c>
    </row>
    <row r="117" spans="20:32" ht="15.75" thickBot="1" x14ac:dyDescent="0.3">
      <c r="U117" s="212" t="s">
        <v>281</v>
      </c>
      <c r="X117" s="207">
        <f>X116*1.2</f>
        <v>0</v>
      </c>
      <c r="Y117" s="113">
        <f>Y116</f>
        <v>0</v>
      </c>
      <c r="Z117" s="482">
        <f>Z116*1.2</f>
        <v>0</v>
      </c>
      <c r="AA117" s="625">
        <f>AA116*1.22</f>
        <v>0</v>
      </c>
      <c r="AB117" s="626">
        <f t="shared" ref="AB117" si="103">AB116</f>
        <v>0</v>
      </c>
      <c r="AC117" s="627">
        <f t="shared" ref="AC117" si="104">AC116*1.22</f>
        <v>0</v>
      </c>
      <c r="AD117" s="631">
        <f>AD116*1.22</f>
        <v>0</v>
      </c>
      <c r="AE117" s="626">
        <f t="shared" ref="AE117" si="105">AE116</f>
        <v>0</v>
      </c>
      <c r="AF117" s="627">
        <f t="shared" ref="AF117" si="106">AF116*1.22</f>
        <v>0</v>
      </c>
    </row>
    <row r="120" spans="20:32" ht="15.75" thickBot="1" x14ac:dyDescent="0.3">
      <c r="T120" s="34" t="s">
        <v>296</v>
      </c>
      <c r="U120" s="208" t="s">
        <v>109</v>
      </c>
    </row>
    <row r="121" spans="20:32" x14ac:dyDescent="0.25">
      <c r="U121" s="1" t="s">
        <v>9</v>
      </c>
      <c r="X121" s="484">
        <f>SUMIFS($X$35:$X$43,$G$35:$G$43,$G$77,$P$35:$P$43,"SF 21-27 (taotletav raha)")</f>
        <v>0</v>
      </c>
      <c r="Y121" s="485">
        <f>SUMIFS($Y$35:$Y$43,$G$35:$G$43,$G$77,$P$35:$P$43,"SF 21-27 (taotletav raha)")</f>
        <v>0</v>
      </c>
      <c r="Z121" s="486">
        <f>SUMIFS($Z$35:$Z$43,$G$35:$G$43,$G$77,$P$35:$P$43,"SF 21-27 (taotletav raha)")</f>
        <v>0</v>
      </c>
      <c r="AA121" s="632">
        <f>SUMIFS($AA$35:$AA$43,$G$35:$G$43,$G$77,$P$35:$P$43,"SF 21-27 (taotletav raha)")</f>
        <v>166000</v>
      </c>
      <c r="AB121" s="633">
        <f>SUMIFS($AB$35:$AB$43,$G$35:$G$43,$G$77,$P$35:$P$43,"SF 21-27 (taotletav raha)")</f>
        <v>88456</v>
      </c>
      <c r="AC121" s="634">
        <f>SUMIFS($AC$35:$AC$43,$G$35:$G$43,$G$77,$P$35:$P$43,"SF 21-27 (taotletav raha)")</f>
        <v>0</v>
      </c>
      <c r="AD121" s="635">
        <f>SUMIFS($AD$35:$AD$43,$G$35:$G$43,$G$77,$P$35:$P$43,"SF 21-27 (taotletav raha)")</f>
        <v>862550</v>
      </c>
      <c r="AE121" s="633">
        <f>SUMIFS($AE$35:$AE$43,$G$35:$G$43,$G$77,$P$35:$P$43,"SF 21-27 (taotletav raha)")</f>
        <v>166400</v>
      </c>
      <c r="AF121" s="634">
        <f>SUMIFS($AF$35:$AF$43,$G$35:$G$43,$G$77,$P$35:$P$43,"SF 21-27 (taotletav raha)")</f>
        <v>0</v>
      </c>
    </row>
    <row r="122" spans="20:32" ht="15.75" thickBot="1" x14ac:dyDescent="0.3">
      <c r="U122" s="212" t="s">
        <v>281</v>
      </c>
      <c r="X122" s="487">
        <f>X121*1.2</f>
        <v>0</v>
      </c>
      <c r="Y122" s="488">
        <f>Y121</f>
        <v>0</v>
      </c>
      <c r="Z122" s="489">
        <f>Z121*1.2</f>
        <v>0</v>
      </c>
      <c r="AA122" s="636">
        <f>AA121*1.22</f>
        <v>202520</v>
      </c>
      <c r="AB122" s="637">
        <f>AB121</f>
        <v>88456</v>
      </c>
      <c r="AC122" s="638">
        <f>AC121*1.22</f>
        <v>0</v>
      </c>
      <c r="AD122" s="636">
        <f>AD121*1.22</f>
        <v>1052311</v>
      </c>
      <c r="AE122" s="637">
        <f>AE121</f>
        <v>166400</v>
      </c>
      <c r="AF122" s="638">
        <f>AF121*1.22</f>
        <v>0</v>
      </c>
    </row>
    <row r="123" spans="20:32" ht="15.75" thickBot="1" x14ac:dyDescent="0.3">
      <c r="X123" s="490"/>
      <c r="Y123" s="490"/>
      <c r="Z123" s="490"/>
      <c r="AA123" s="639"/>
      <c r="AB123" s="639"/>
      <c r="AC123" s="639"/>
      <c r="AD123" s="639"/>
      <c r="AE123" s="639"/>
      <c r="AF123" s="639"/>
    </row>
    <row r="124" spans="20:32" x14ac:dyDescent="0.25">
      <c r="U124" s="1" t="s">
        <v>10</v>
      </c>
      <c r="X124" s="484">
        <f>SUMIFS($X$35:$X$43,$G$35:$G$43,$G$78,$P$35:$P$43,"SF 21-27 (taotletav raha)")</f>
        <v>0</v>
      </c>
      <c r="Y124" s="485">
        <f>SUMIFS($Y$35:$Y$43,$G$35:$G$43,$G$78,$P$35:$P$43,"SF 21-27 (taotletav raha)")</f>
        <v>0</v>
      </c>
      <c r="Z124" s="486">
        <f>SUMIFS($Z$35:$Z$43,$G$35:$G$43,$G$78,$P$35:$P$43,"SF 21-27 (taotletav raha)")</f>
        <v>0</v>
      </c>
      <c r="AA124" s="632">
        <f>SUMIFS($AA$35:$AA$43,$G$35:$G$43,$G$78,$P$35:$P$43,"SF 21-27 (taotletav raha)")</f>
        <v>0</v>
      </c>
      <c r="AB124" s="633">
        <f>SUMIFS($AB$35:$AB$43,$G$35:$G$43,$G$78,$P$35:$P$43,"SF 21-27 (taotletav raha)")</f>
        <v>0</v>
      </c>
      <c r="AC124" s="634">
        <f>SUMIFS($AC$35:$AC$43,$G$35:$G$43,$G$78,$P$35:$P$43,"SF 21-27 (taotletav raha)")</f>
        <v>0</v>
      </c>
      <c r="AD124" s="635">
        <f>SUMIFS($AD$35:$AD$43,$G$35:$G$43,$G$78,$P$35:$P$43,"SF 21-27 (taotletav raha)")</f>
        <v>0</v>
      </c>
      <c r="AE124" s="633">
        <f>SUMIFS($AE$35:$AE$43,$G$35:$G$43,$G$78,$P$35:$P$43,"SF 21-27 (taotletav raha)")</f>
        <v>0</v>
      </c>
      <c r="AF124" s="634">
        <f>SUMIFS($AF$35:$AF$43,$G$35:$G$43,$G$78,$P$35:$P$43,"SF 21-27 (taotletav raha)")</f>
        <v>0</v>
      </c>
    </row>
    <row r="125" spans="20:32" ht="15.75" thickBot="1" x14ac:dyDescent="0.3">
      <c r="U125" s="212" t="s">
        <v>281</v>
      </c>
      <c r="X125" s="487">
        <f>X124*1.2</f>
        <v>0</v>
      </c>
      <c r="Y125" s="488">
        <f>Y124</f>
        <v>0</v>
      </c>
      <c r="Z125" s="489">
        <f>Z124*1.2</f>
        <v>0</v>
      </c>
      <c r="AA125" s="636">
        <f>AA124*1.22</f>
        <v>0</v>
      </c>
      <c r="AB125" s="637">
        <f>AB124</f>
        <v>0</v>
      </c>
      <c r="AC125" s="638">
        <f>AC124*1.22</f>
        <v>0</v>
      </c>
      <c r="AD125" s="636">
        <f>AD124*1.22</f>
        <v>0</v>
      </c>
      <c r="AE125" s="637">
        <f>AE124</f>
        <v>0</v>
      </c>
      <c r="AF125" s="638">
        <f>AF124*1.22</f>
        <v>0</v>
      </c>
    </row>
    <row r="126" spans="20:32" ht="15.75" thickBot="1" x14ac:dyDescent="0.3">
      <c r="X126" s="490"/>
      <c r="Y126" s="490"/>
      <c r="Z126" s="490"/>
      <c r="AA126" s="639"/>
      <c r="AB126" s="639"/>
      <c r="AC126" s="639"/>
      <c r="AD126" s="639"/>
      <c r="AE126" s="639"/>
      <c r="AF126" s="639"/>
    </row>
    <row r="127" spans="20:32" x14ac:dyDescent="0.25">
      <c r="U127" s="1" t="s">
        <v>285</v>
      </c>
      <c r="X127" s="484">
        <f>SUMIFS($X$35:$X$43,$G$35:$G$43,$G$79,$P$35:$P$43,"SF 21-27 (taotletav raha)")</f>
        <v>0</v>
      </c>
      <c r="Y127" s="485">
        <f>SUMIFS($Y$35:$Y$43,$G$35:$G$43,$G$79,$P$35:$P$43,"SF 21-27 (taotletav raha)")</f>
        <v>9323</v>
      </c>
      <c r="Z127" s="486">
        <f>SUMIFS($Z$35:$Z$43,$G$35:$G$43,$G$79,$P$35:$P$43,"SF 21-27 (taotletav raha)")</f>
        <v>0</v>
      </c>
      <c r="AA127" s="632">
        <f>SUMIFS($AA$35:$AA$43,$G$35:$G$43,$G$79,$P$35:$P$43,"SF 21-27 (taotletav raha)")</f>
        <v>0</v>
      </c>
      <c r="AB127" s="633">
        <f>SUMIFS($AB$35:$AB$43,$G$35:$G$43,$G$79,$P$35:$P$43,"SF 21-27 (taotletav raha)")</f>
        <v>40140</v>
      </c>
      <c r="AC127" s="634">
        <f>SUMIFS($AC$35:$AC$43,$G$35:$G$43,$G$79,$P$35:$P$43,"SF 21-27 (taotletav raha)")</f>
        <v>90000</v>
      </c>
      <c r="AD127" s="635">
        <f>SUMIFS($AD$35:$AD$43,$G$35:$G$43,$G$79,$P$35:$P$43,"SF 21-27 (taotletav raha)")</f>
        <v>0</v>
      </c>
      <c r="AE127" s="633">
        <f>SUMIFS($AE$35:$AE$43,$G$35:$G$43,$G$79,$P$35:$P$43,"SF 21-27 (taotletav raha)")</f>
        <v>40140</v>
      </c>
      <c r="AF127" s="634">
        <f>SUMIFS($AF$35:$AF$43,$G$35:$G$43,$G$79,$P$35:$P$43,"SF 21-27 (taotletav raha)")</f>
        <v>0</v>
      </c>
    </row>
    <row r="128" spans="20:32" ht="15.75" thickBot="1" x14ac:dyDescent="0.3">
      <c r="U128" s="212" t="s">
        <v>281</v>
      </c>
      <c r="X128" s="487">
        <f>X127*1.2</f>
        <v>0</v>
      </c>
      <c r="Y128" s="488">
        <f>Y127</f>
        <v>9323</v>
      </c>
      <c r="Z128" s="489">
        <f>Z127*1.2</f>
        <v>0</v>
      </c>
      <c r="AA128" s="636">
        <f>AA127*1.22</f>
        <v>0</v>
      </c>
      <c r="AB128" s="637">
        <f>AB127</f>
        <v>40140</v>
      </c>
      <c r="AC128" s="638">
        <f>AC127*1.22</f>
        <v>109800</v>
      </c>
      <c r="AD128" s="636">
        <f>AD127*1.22</f>
        <v>0</v>
      </c>
      <c r="AE128" s="637">
        <f>AE127</f>
        <v>40140</v>
      </c>
      <c r="AF128" s="638">
        <f>AF127*1.22</f>
        <v>0</v>
      </c>
    </row>
    <row r="129" spans="21:32" ht="15.75" thickBot="1" x14ac:dyDescent="0.3">
      <c r="X129" s="490"/>
      <c r="Y129" s="490"/>
      <c r="Z129" s="490"/>
      <c r="AA129" s="639"/>
      <c r="AB129" s="639"/>
      <c r="AC129" s="639"/>
      <c r="AD129" s="639"/>
      <c r="AE129" s="639"/>
      <c r="AF129" s="639"/>
    </row>
    <row r="130" spans="21:32" x14ac:dyDescent="0.25">
      <c r="U130" s="1" t="s">
        <v>12</v>
      </c>
      <c r="X130" s="484">
        <f t="shared" ref="X130:AF130" si="107">SUMIFS(X$35:X$43,$G$35:$G$43,$G$80,$P$35:$P$43,"SF 21-27 (taotletav raha)")</f>
        <v>0</v>
      </c>
      <c r="Y130" s="485">
        <f t="shared" si="107"/>
        <v>0</v>
      </c>
      <c r="Z130" s="486">
        <f t="shared" si="107"/>
        <v>0</v>
      </c>
      <c r="AA130" s="632">
        <f t="shared" si="107"/>
        <v>0</v>
      </c>
      <c r="AB130" s="640">
        <f t="shared" si="107"/>
        <v>0</v>
      </c>
      <c r="AC130" s="641">
        <f t="shared" si="107"/>
        <v>0</v>
      </c>
      <c r="AD130" s="632">
        <f t="shared" si="107"/>
        <v>0</v>
      </c>
      <c r="AE130" s="640">
        <f t="shared" si="107"/>
        <v>0</v>
      </c>
      <c r="AF130" s="641">
        <f t="shared" si="107"/>
        <v>0</v>
      </c>
    </row>
    <row r="131" spans="21:32" ht="15.75" thickBot="1" x14ac:dyDescent="0.3">
      <c r="U131" s="212" t="s">
        <v>281</v>
      </c>
      <c r="X131" s="487">
        <f>X130*1.2</f>
        <v>0</v>
      </c>
      <c r="Y131" s="488">
        <f>Y130</f>
        <v>0</v>
      </c>
      <c r="Z131" s="489">
        <f>Z130*1.2</f>
        <v>0</v>
      </c>
      <c r="AA131" s="636">
        <f>AA130*1.22</f>
        <v>0</v>
      </c>
      <c r="AB131" s="637">
        <f>AB130</f>
        <v>0</v>
      </c>
      <c r="AC131" s="638">
        <f>AC130*1.22</f>
        <v>0</v>
      </c>
      <c r="AD131" s="636">
        <f>AD130*1.22</f>
        <v>0</v>
      </c>
      <c r="AE131" s="637">
        <f>AE130</f>
        <v>0</v>
      </c>
      <c r="AF131" s="638">
        <f>AF130*1.22</f>
        <v>0</v>
      </c>
    </row>
    <row r="132" spans="21:32" x14ac:dyDescent="0.25">
      <c r="X132" s="483"/>
      <c r="Y132" s="483"/>
      <c r="Z132" s="483"/>
      <c r="AA132" s="639"/>
      <c r="AB132" s="639"/>
      <c r="AC132" s="639"/>
      <c r="AD132" s="639"/>
      <c r="AE132" s="639"/>
      <c r="AF132" s="639"/>
    </row>
    <row r="133" spans="21:32" x14ac:dyDescent="0.25">
      <c r="X133" s="483"/>
      <c r="Y133" s="483"/>
      <c r="Z133" s="483"/>
      <c r="AA133" s="639"/>
      <c r="AB133" s="639"/>
      <c r="AC133" s="642"/>
      <c r="AD133" s="639"/>
      <c r="AE133" s="639"/>
      <c r="AF133" s="639"/>
    </row>
    <row r="134" spans="21:32" x14ac:dyDescent="0.25">
      <c r="X134" s="483"/>
      <c r="Y134" s="483"/>
      <c r="Z134" s="483"/>
      <c r="AA134" s="639"/>
      <c r="AB134" s="639"/>
      <c r="AC134" s="639"/>
      <c r="AD134" s="639"/>
      <c r="AE134" s="639"/>
      <c r="AF134" s="639"/>
    </row>
    <row r="135" spans="21:32" ht="15.75" thickBot="1" x14ac:dyDescent="0.3">
      <c r="U135" s="208" t="s">
        <v>292</v>
      </c>
      <c r="X135" s="483"/>
      <c r="Y135" s="483"/>
      <c r="Z135" s="483"/>
      <c r="AA135" s="639"/>
      <c r="AB135" s="639"/>
      <c r="AC135" s="639"/>
      <c r="AD135" s="639"/>
      <c r="AE135" s="639"/>
      <c r="AF135" s="639"/>
    </row>
    <row r="136" spans="21:32" x14ac:dyDescent="0.25">
      <c r="U136" s="1" t="s">
        <v>9</v>
      </c>
      <c r="X136" s="484">
        <f t="shared" ref="X136:AF136" si="108">SUMIFS(X$35:X$43, $G$35:$G$43, $G$77, $P$35:$P$43, "Baaseelarve")+SUMIFS(X$35:X$43, $G$35:$G$43, $G$77, $P$35:$P$43, "Muu rahastus")+SUMIFS(X$35:X$43, $G$35:$G$43, $G$77, $P$35:$P$43, "Reserv (SR)")+SUMIFS(X$35:X$43, $G$35:$G$43, $G$77, $P$35:$P$43, "RRF")+SUMIFS(X$35:X$43, $G$35:$G$43, $G$77, $P$35:$P$43, "SF 14-20 (töös olev projekt)")</f>
        <v>0</v>
      </c>
      <c r="Y136" s="485">
        <f t="shared" si="108"/>
        <v>0</v>
      </c>
      <c r="Z136" s="486">
        <f t="shared" si="108"/>
        <v>0</v>
      </c>
      <c r="AA136" s="632">
        <f t="shared" si="108"/>
        <v>0</v>
      </c>
      <c r="AB136" s="640">
        <f t="shared" si="108"/>
        <v>0</v>
      </c>
      <c r="AC136" s="641">
        <f t="shared" si="108"/>
        <v>0</v>
      </c>
      <c r="AD136" s="632">
        <f t="shared" si="108"/>
        <v>0</v>
      </c>
      <c r="AE136" s="640">
        <f t="shared" si="108"/>
        <v>0</v>
      </c>
      <c r="AF136" s="641">
        <f t="shared" si="108"/>
        <v>0</v>
      </c>
    </row>
    <row r="137" spans="21:32" ht="15.75" thickBot="1" x14ac:dyDescent="0.3">
      <c r="U137" s="212" t="s">
        <v>281</v>
      </c>
      <c r="X137" s="487">
        <f>X136*1.2</f>
        <v>0</v>
      </c>
      <c r="Y137" s="488">
        <f>Y136</f>
        <v>0</v>
      </c>
      <c r="Z137" s="489">
        <f>Z136*1.2</f>
        <v>0</v>
      </c>
      <c r="AA137" s="636">
        <f>AA136*1.22</f>
        <v>0</v>
      </c>
      <c r="AB137" s="637">
        <f>AB136</f>
        <v>0</v>
      </c>
      <c r="AC137" s="638">
        <f>AC136*1.22</f>
        <v>0</v>
      </c>
      <c r="AD137" s="636">
        <f>AD136*1.22</f>
        <v>0</v>
      </c>
      <c r="AE137" s="637">
        <f>AE136</f>
        <v>0</v>
      </c>
      <c r="AF137" s="638">
        <f>AF136*1.22</f>
        <v>0</v>
      </c>
    </row>
    <row r="138" spans="21:32" ht="15.75" thickBot="1" x14ac:dyDescent="0.3">
      <c r="X138" s="490"/>
      <c r="Y138" s="490"/>
      <c r="Z138" s="490"/>
      <c r="AA138" s="643"/>
      <c r="AB138" s="643"/>
      <c r="AC138" s="643"/>
      <c r="AD138" s="643"/>
      <c r="AE138" s="643"/>
      <c r="AF138" s="643"/>
    </row>
    <row r="139" spans="21:32" x14ac:dyDescent="0.25">
      <c r="U139" s="1" t="s">
        <v>10</v>
      </c>
      <c r="X139" s="484">
        <f t="shared" ref="X139:AF139" si="109">SUMIFS(X$35:X$43, $G$35:$G$43, $G$78, $P$35:$P$43, "Baaseelarve")+SUMIFS(X$35:X$43, $G$35:$G$43, $G$78, $P$35:$P$43, "Muu rahastus")+SUMIFS(X$35:X$43, $G$35:$G$43, $G$78, $P$35:$P$43, "Reserv (SR)")+SUMIFS(X$35:X$43, $G$35:$G$43, $G$78, $P$35:$P$43, "RRF")+SUMIFS(X$35:X$43, $G$35:$G$43, $G$78, $P$35:$P$43, "SF 14-20 (töös olev projekt)")</f>
        <v>0</v>
      </c>
      <c r="Y139" s="485">
        <f t="shared" si="109"/>
        <v>0</v>
      </c>
      <c r="Z139" s="486">
        <f t="shared" si="109"/>
        <v>0</v>
      </c>
      <c r="AA139" s="632">
        <f t="shared" si="109"/>
        <v>0</v>
      </c>
      <c r="AB139" s="640">
        <f t="shared" si="109"/>
        <v>0</v>
      </c>
      <c r="AC139" s="641">
        <f t="shared" si="109"/>
        <v>0</v>
      </c>
      <c r="AD139" s="632">
        <f t="shared" si="109"/>
        <v>0</v>
      </c>
      <c r="AE139" s="640">
        <f t="shared" si="109"/>
        <v>0</v>
      </c>
      <c r="AF139" s="641">
        <f t="shared" si="109"/>
        <v>0</v>
      </c>
    </row>
    <row r="140" spans="21:32" ht="15.75" thickBot="1" x14ac:dyDescent="0.3">
      <c r="U140" s="212" t="s">
        <v>281</v>
      </c>
      <c r="X140" s="487">
        <f>X139*1.2</f>
        <v>0</v>
      </c>
      <c r="Y140" s="488">
        <f>Y139</f>
        <v>0</v>
      </c>
      <c r="Z140" s="489">
        <f>Z139*1.2</f>
        <v>0</v>
      </c>
      <c r="AA140" s="636">
        <f>AA139*1.22</f>
        <v>0</v>
      </c>
      <c r="AB140" s="637">
        <f>AB139</f>
        <v>0</v>
      </c>
      <c r="AC140" s="638">
        <f>AC139*1.22</f>
        <v>0</v>
      </c>
      <c r="AD140" s="636">
        <f>AD139*1.22</f>
        <v>0</v>
      </c>
      <c r="AE140" s="637">
        <f>AE139</f>
        <v>0</v>
      </c>
      <c r="AF140" s="638">
        <f>AF139*1.22</f>
        <v>0</v>
      </c>
    </row>
    <row r="141" spans="21:32" ht="15.75" thickBot="1" x14ac:dyDescent="0.3">
      <c r="X141" s="490"/>
      <c r="Y141" s="490"/>
      <c r="Z141" s="490"/>
      <c r="AA141" s="643"/>
      <c r="AB141" s="643"/>
      <c r="AC141" s="643"/>
      <c r="AD141" s="643"/>
      <c r="AE141" s="643"/>
      <c r="AF141" s="643"/>
    </row>
    <row r="142" spans="21:32" x14ac:dyDescent="0.25">
      <c r="U142" s="1" t="s">
        <v>285</v>
      </c>
      <c r="X142" s="484">
        <f t="shared" ref="X142:AF142" si="110">SUMIFS(X$35:X$43, $G$35:$G$43, $G$79, $P$35:$P$43, "Baaseelarve")+SUMIFS(X$35:X$43, $G$35:$G$43, $G$79, $P$35:$P$43, "Muu rahastus")+SUMIFS(X$35:X$43, $G$35:$G$43, $G$79, $P$35:$P$43, "Reserv (SR)")+SUMIFS(X$35:X$43, $G$35:$G$43, $G$79, $P$35:$P$43, "RRF")+SUMIFS(X$35:X$43, $G$35:$G$43, $G$79, $P$35:$P$43, "SF 14-20 (töös olev projekt)")</f>
        <v>0</v>
      </c>
      <c r="Y142" s="485">
        <f t="shared" si="110"/>
        <v>0</v>
      </c>
      <c r="Z142" s="486">
        <f t="shared" si="110"/>
        <v>0</v>
      </c>
      <c r="AA142" s="632">
        <f t="shared" si="110"/>
        <v>0</v>
      </c>
      <c r="AB142" s="640">
        <f t="shared" si="110"/>
        <v>0</v>
      </c>
      <c r="AC142" s="641">
        <f t="shared" si="110"/>
        <v>0</v>
      </c>
      <c r="AD142" s="632">
        <f t="shared" si="110"/>
        <v>0</v>
      </c>
      <c r="AE142" s="640">
        <f t="shared" si="110"/>
        <v>0</v>
      </c>
      <c r="AF142" s="641">
        <f t="shared" si="110"/>
        <v>0</v>
      </c>
    </row>
    <row r="143" spans="21:32" ht="15.75" thickBot="1" x14ac:dyDescent="0.3">
      <c r="U143" s="212" t="s">
        <v>281</v>
      </c>
      <c r="X143" s="487">
        <f>X142*1.2</f>
        <v>0</v>
      </c>
      <c r="Y143" s="488">
        <f>Y142</f>
        <v>0</v>
      </c>
      <c r="Z143" s="489">
        <f>Z142*1.2</f>
        <v>0</v>
      </c>
      <c r="AA143" s="636">
        <f>AA142*1.22</f>
        <v>0</v>
      </c>
      <c r="AB143" s="637">
        <f>AB142</f>
        <v>0</v>
      </c>
      <c r="AC143" s="638">
        <f>AC142*1.22</f>
        <v>0</v>
      </c>
      <c r="AD143" s="636">
        <f>AD142*1.22</f>
        <v>0</v>
      </c>
      <c r="AE143" s="637">
        <f>AE142</f>
        <v>0</v>
      </c>
      <c r="AF143" s="638">
        <f>AF142*1.22</f>
        <v>0</v>
      </c>
    </row>
    <row r="144" spans="21:32" ht="15.75" thickBot="1" x14ac:dyDescent="0.3">
      <c r="X144" s="490"/>
      <c r="Y144" s="490"/>
      <c r="Z144" s="490"/>
      <c r="AA144" s="643"/>
      <c r="AB144" s="643"/>
      <c r="AC144" s="643"/>
      <c r="AD144" s="643"/>
      <c r="AE144" s="643"/>
      <c r="AF144" s="643"/>
    </row>
    <row r="145" spans="21:32" x14ac:dyDescent="0.25">
      <c r="U145" s="1" t="s">
        <v>12</v>
      </c>
      <c r="X145" s="484">
        <f t="shared" ref="X145:AF145" si="111">SUMIFS(X$35:X$43, $G$35:$G$43, $G$80, $P$35:$P$43, "Baaseelarve")+SUMIFS(X$35:X$43, $G$35:$G$43, $G$80, $P$35:$P$43, "Muu rahastus")+SUMIFS(X$35:X$43, $G$35:$G$43, $G$80, $P$35:$P$43, "Reserv (SR)")+SUMIFS(X$35:X$43, $G$35:$G$43, $G$80, $P$35:$P$43, "RRF")+SUMIFS(X$35:X$43, $G$35:$G$43, $G$80, $P$35:$P$43, "SF 14-20 (töös olev projekt)")</f>
        <v>1540000</v>
      </c>
      <c r="Y145" s="484">
        <f t="shared" si="111"/>
        <v>412350</v>
      </c>
      <c r="Z145" s="501">
        <f t="shared" si="111"/>
        <v>63517</v>
      </c>
      <c r="AA145" s="632">
        <f t="shared" si="111"/>
        <v>5806423</v>
      </c>
      <c r="AB145" s="632">
        <f t="shared" si="111"/>
        <v>559555.5</v>
      </c>
      <c r="AC145" s="644">
        <f t="shared" si="111"/>
        <v>90901</v>
      </c>
      <c r="AD145" s="632">
        <f t="shared" si="111"/>
        <v>2223418</v>
      </c>
      <c r="AE145" s="632">
        <f t="shared" si="111"/>
        <v>569649.5</v>
      </c>
      <c r="AF145" s="644">
        <f t="shared" si="111"/>
        <v>92415</v>
      </c>
    </row>
    <row r="146" spans="21:32" ht="15.75" thickBot="1" x14ac:dyDescent="0.3">
      <c r="U146" s="212" t="s">
        <v>281</v>
      </c>
      <c r="X146" s="487">
        <f>X145*1.2</f>
        <v>1848000</v>
      </c>
      <c r="Y146" s="488">
        <f>Y145</f>
        <v>412350</v>
      </c>
      <c r="Z146" s="489">
        <f>Z145*1.2</f>
        <v>76220.399999999994</v>
      </c>
      <c r="AA146" s="636">
        <f>AA145*1.22</f>
        <v>7083836.0599999996</v>
      </c>
      <c r="AB146" s="637">
        <f>AB145</f>
        <v>559555.5</v>
      </c>
      <c r="AC146" s="638">
        <f>AC145*1.22</f>
        <v>110899.22</v>
      </c>
      <c r="AD146" s="636">
        <f>AD145*1.22</f>
        <v>2712569.96</v>
      </c>
      <c r="AE146" s="637">
        <f>AE145</f>
        <v>569649.5</v>
      </c>
      <c r="AF146" s="638">
        <f>AF145*1.22</f>
        <v>112746.3</v>
      </c>
    </row>
    <row r="147" spans="21:32" x14ac:dyDescent="0.25">
      <c r="X147" s="490"/>
      <c r="Y147" s="490"/>
      <c r="Z147" s="490"/>
      <c r="AA147" s="643"/>
      <c r="AB147" s="643"/>
      <c r="AC147" s="643"/>
      <c r="AD147" s="643"/>
      <c r="AE147" s="643"/>
      <c r="AF147" s="643"/>
    </row>
    <row r="148" spans="21:32" x14ac:dyDescent="0.25">
      <c r="X148" s="490"/>
      <c r="Y148" s="490"/>
      <c r="Z148" s="490"/>
      <c r="AA148" s="643"/>
      <c r="AB148" s="643"/>
      <c r="AC148" s="643"/>
      <c r="AD148" s="643"/>
      <c r="AE148" s="643"/>
      <c r="AF148" s="643"/>
    </row>
    <row r="149" spans="21:32" x14ac:dyDescent="0.25">
      <c r="X149" s="490"/>
      <c r="Y149" s="490"/>
      <c r="Z149" s="490"/>
      <c r="AA149" s="643"/>
      <c r="AB149" s="643"/>
      <c r="AC149" s="643"/>
      <c r="AD149" s="643"/>
      <c r="AE149" s="643"/>
      <c r="AF149" s="643"/>
    </row>
    <row r="150" spans="21:32" ht="15.75" thickBot="1" x14ac:dyDescent="0.3">
      <c r="U150" s="208" t="s">
        <v>258</v>
      </c>
      <c r="X150" s="483"/>
      <c r="Y150" s="483"/>
      <c r="Z150" s="483"/>
      <c r="AA150" s="639"/>
      <c r="AB150" s="639"/>
      <c r="AC150" s="639"/>
      <c r="AD150" s="639"/>
      <c r="AE150" s="639"/>
      <c r="AF150" s="639"/>
    </row>
    <row r="151" spans="21:32" x14ac:dyDescent="0.25">
      <c r="U151" s="1" t="s">
        <v>9</v>
      </c>
      <c r="X151" s="484">
        <f t="shared" ref="X151:AF151" si="112">SUMIFS(X$35:X$43,$G$35:$G$43,$G$77,$P$35:$P$43,$P$79)</f>
        <v>0</v>
      </c>
      <c r="Y151" s="485">
        <f t="shared" si="112"/>
        <v>0</v>
      </c>
      <c r="Z151" s="486">
        <f t="shared" si="112"/>
        <v>0</v>
      </c>
      <c r="AA151" s="632">
        <f t="shared" si="112"/>
        <v>0</v>
      </c>
      <c r="AB151" s="640">
        <f t="shared" si="112"/>
        <v>0</v>
      </c>
      <c r="AC151" s="641">
        <f t="shared" si="112"/>
        <v>0</v>
      </c>
      <c r="AD151" s="632">
        <f t="shared" si="112"/>
        <v>0</v>
      </c>
      <c r="AE151" s="640">
        <f t="shared" si="112"/>
        <v>0</v>
      </c>
      <c r="AF151" s="641">
        <f t="shared" si="112"/>
        <v>0</v>
      </c>
    </row>
    <row r="152" spans="21:32" ht="15.75" thickBot="1" x14ac:dyDescent="0.3">
      <c r="U152" s="212" t="s">
        <v>281</v>
      </c>
      <c r="X152" s="487">
        <f>X151*1.2</f>
        <v>0</v>
      </c>
      <c r="Y152" s="488">
        <f>Y151</f>
        <v>0</v>
      </c>
      <c r="Z152" s="489">
        <f>Z151*1.2</f>
        <v>0</v>
      </c>
      <c r="AA152" s="636">
        <f>AA151*1.22</f>
        <v>0</v>
      </c>
      <c r="AB152" s="637">
        <f>AB151</f>
        <v>0</v>
      </c>
      <c r="AC152" s="638">
        <f>AC151*1.22</f>
        <v>0</v>
      </c>
      <c r="AD152" s="636">
        <f>AD151*1.22</f>
        <v>0</v>
      </c>
      <c r="AE152" s="637">
        <f>AE151</f>
        <v>0</v>
      </c>
      <c r="AF152" s="638">
        <f>AF151*1.22</f>
        <v>0</v>
      </c>
    </row>
    <row r="153" spans="21:32" ht="15.75" thickBot="1" x14ac:dyDescent="0.3">
      <c r="X153" s="490"/>
      <c r="Y153" s="490"/>
      <c r="Z153" s="490"/>
      <c r="AA153" s="643"/>
      <c r="AB153" s="643"/>
      <c r="AC153" s="643"/>
      <c r="AD153" s="643"/>
      <c r="AE153" s="643"/>
      <c r="AF153" s="643"/>
    </row>
    <row r="154" spans="21:32" x14ac:dyDescent="0.25">
      <c r="U154" s="1" t="s">
        <v>10</v>
      </c>
      <c r="X154" s="484">
        <f t="shared" ref="X154:AF154" si="113">SUMIFS(X$35:X$43,$G$35:$G$43,$G$78,$P$35:$P$43,$P$79)</f>
        <v>0</v>
      </c>
      <c r="Y154" s="485">
        <f t="shared" si="113"/>
        <v>0</v>
      </c>
      <c r="Z154" s="491">
        <f t="shared" si="113"/>
        <v>0</v>
      </c>
      <c r="AA154" s="632">
        <f t="shared" si="113"/>
        <v>0</v>
      </c>
      <c r="AB154" s="640">
        <f t="shared" si="113"/>
        <v>0</v>
      </c>
      <c r="AC154" s="641">
        <f t="shared" si="113"/>
        <v>0</v>
      </c>
      <c r="AD154" s="645">
        <f t="shared" si="113"/>
        <v>0</v>
      </c>
      <c r="AE154" s="640">
        <f t="shared" si="113"/>
        <v>0</v>
      </c>
      <c r="AF154" s="641">
        <f t="shared" si="113"/>
        <v>0</v>
      </c>
    </row>
    <row r="155" spans="21:32" ht="15.75" thickBot="1" x14ac:dyDescent="0.3">
      <c r="U155" s="212" t="s">
        <v>281</v>
      </c>
      <c r="X155" s="487">
        <f>X154*1.2</f>
        <v>0</v>
      </c>
      <c r="Y155" s="488">
        <f>Y154</f>
        <v>0</v>
      </c>
      <c r="Z155" s="492">
        <f>Z154*1.2</f>
        <v>0</v>
      </c>
      <c r="AA155" s="636">
        <f>AA154*1.22</f>
        <v>0</v>
      </c>
      <c r="AB155" s="637">
        <f>AB154</f>
        <v>0</v>
      </c>
      <c r="AC155" s="638">
        <f>AC154*1.22</f>
        <v>0</v>
      </c>
      <c r="AD155" s="646">
        <f>AD154*1.22</f>
        <v>0</v>
      </c>
      <c r="AE155" s="637">
        <f>AE154</f>
        <v>0</v>
      </c>
      <c r="AF155" s="638">
        <f>AF154*1.22</f>
        <v>0</v>
      </c>
    </row>
    <row r="156" spans="21:32" ht="15.75" thickBot="1" x14ac:dyDescent="0.3">
      <c r="X156" s="490"/>
      <c r="Y156" s="490"/>
      <c r="Z156" s="490"/>
      <c r="AA156" s="643"/>
      <c r="AB156" s="643"/>
      <c r="AC156" s="643"/>
      <c r="AD156" s="643"/>
      <c r="AE156" s="643"/>
      <c r="AF156" s="643"/>
    </row>
    <row r="157" spans="21:32" x14ac:dyDescent="0.25">
      <c r="U157" s="1" t="s">
        <v>285</v>
      </c>
      <c r="X157" s="484">
        <f t="shared" ref="X157:AF157" si="114">SUMIFS(X$35:X$43,$G$35:$G$43,$G$79,$P$35:$P$43,$P$79)</f>
        <v>0</v>
      </c>
      <c r="Y157" s="485">
        <f t="shared" si="114"/>
        <v>0</v>
      </c>
      <c r="Z157" s="491">
        <f t="shared" si="114"/>
        <v>0</v>
      </c>
      <c r="AA157" s="632">
        <f t="shared" si="114"/>
        <v>0</v>
      </c>
      <c r="AB157" s="640">
        <f t="shared" si="114"/>
        <v>0</v>
      </c>
      <c r="AC157" s="641">
        <f t="shared" si="114"/>
        <v>0</v>
      </c>
      <c r="AD157" s="645">
        <f t="shared" si="114"/>
        <v>0</v>
      </c>
      <c r="AE157" s="640">
        <f t="shared" si="114"/>
        <v>0</v>
      </c>
      <c r="AF157" s="641">
        <f t="shared" si="114"/>
        <v>0</v>
      </c>
    </row>
    <row r="158" spans="21:32" ht="15.75" thickBot="1" x14ac:dyDescent="0.3">
      <c r="U158" s="212" t="s">
        <v>281</v>
      </c>
      <c r="X158" s="487">
        <f>X157*1.2</f>
        <v>0</v>
      </c>
      <c r="Y158" s="488">
        <f>Y157</f>
        <v>0</v>
      </c>
      <c r="Z158" s="492">
        <f>Z157*1.2</f>
        <v>0</v>
      </c>
      <c r="AA158" s="636">
        <f>AA157*1.22</f>
        <v>0</v>
      </c>
      <c r="AB158" s="637">
        <f>AB157</f>
        <v>0</v>
      </c>
      <c r="AC158" s="638">
        <f>AC157*1.22</f>
        <v>0</v>
      </c>
      <c r="AD158" s="646">
        <f>AD157*1.22</f>
        <v>0</v>
      </c>
      <c r="AE158" s="637">
        <f>AE157</f>
        <v>0</v>
      </c>
      <c r="AF158" s="638">
        <f>AF157*1.22</f>
        <v>0</v>
      </c>
    </row>
    <row r="159" spans="21:32" ht="15.75" thickBot="1" x14ac:dyDescent="0.3">
      <c r="X159" s="490"/>
      <c r="Y159" s="490"/>
      <c r="Z159" s="490"/>
      <c r="AA159" s="643"/>
      <c r="AB159" s="643"/>
      <c r="AC159" s="643"/>
      <c r="AD159" s="643"/>
      <c r="AE159" s="643"/>
      <c r="AF159" s="643"/>
    </row>
    <row r="160" spans="21:32" x14ac:dyDescent="0.25">
      <c r="U160" s="1" t="s">
        <v>12</v>
      </c>
      <c r="X160" s="484">
        <f t="shared" ref="X160:AF160" si="115">SUMIFS(X$35:X$43,$G$35:$G$43,$G$80,$P$35:$P$43,$P$79)</f>
        <v>0</v>
      </c>
      <c r="Y160" s="485">
        <f t="shared" si="115"/>
        <v>0</v>
      </c>
      <c r="Z160" s="491">
        <f t="shared" si="115"/>
        <v>0</v>
      </c>
      <c r="AA160" s="632">
        <f t="shared" si="115"/>
        <v>0</v>
      </c>
      <c r="AB160" s="640">
        <f t="shared" si="115"/>
        <v>0</v>
      </c>
      <c r="AC160" s="641">
        <f t="shared" si="115"/>
        <v>0</v>
      </c>
      <c r="AD160" s="645">
        <f t="shared" si="115"/>
        <v>0</v>
      </c>
      <c r="AE160" s="640">
        <f t="shared" si="115"/>
        <v>0</v>
      </c>
      <c r="AF160" s="641">
        <f t="shared" si="115"/>
        <v>0</v>
      </c>
    </row>
    <row r="161" spans="20:32" ht="15.75" thickBot="1" x14ac:dyDescent="0.3">
      <c r="U161" s="212" t="s">
        <v>281</v>
      </c>
      <c r="X161" s="487">
        <f>X160*1.2</f>
        <v>0</v>
      </c>
      <c r="Y161" s="488">
        <f>Y160</f>
        <v>0</v>
      </c>
      <c r="Z161" s="492">
        <f>Z160*1.2</f>
        <v>0</v>
      </c>
      <c r="AA161" s="636">
        <f>AA160*1.22</f>
        <v>0</v>
      </c>
      <c r="AB161" s="637">
        <f>AB160</f>
        <v>0</v>
      </c>
      <c r="AC161" s="638">
        <f>AC160*1.22</f>
        <v>0</v>
      </c>
      <c r="AD161" s="646">
        <f>AD160*1.22</f>
        <v>0</v>
      </c>
      <c r="AE161" s="637">
        <f>AE160</f>
        <v>0</v>
      </c>
      <c r="AF161" s="638">
        <f>AF160*1.22</f>
        <v>0</v>
      </c>
    </row>
    <row r="164" spans="20:32" ht="15.75" thickBot="1" x14ac:dyDescent="0.3">
      <c r="T164" s="34" t="s">
        <v>297</v>
      </c>
      <c r="U164" s="208" t="s">
        <v>109</v>
      </c>
    </row>
    <row r="165" spans="20:32" x14ac:dyDescent="0.25">
      <c r="U165" s="1" t="s">
        <v>9</v>
      </c>
      <c r="X165" s="493">
        <f>SUMIFS($X$45:$X$73,$G$45:$G$73,$G$77,$P$45:$P$73,"SF 21-27 (taotletav raha)")</f>
        <v>0</v>
      </c>
      <c r="Y165" s="494">
        <f>SUMIFS($Y$45:$Y$73,$G$45:$G$73,$G$77,$P$45:$P$73,"SF 21-27 (taotletav raha)")</f>
        <v>0</v>
      </c>
      <c r="Z165" s="499">
        <f>SUMIFS($Z$45:$Z$73,$G$45:$G$73,$G$77,$P$45:$P$73,"SF 21-27 (taotletav raha)")</f>
        <v>0</v>
      </c>
      <c r="AA165" s="647">
        <f>SUMIFS($AA$45:$AA$73,$G$45:$G$73,$G$77,$P$45:$P$73,"SF 21-27 (taotletav raha)")</f>
        <v>2385280</v>
      </c>
      <c r="AB165" s="648">
        <f>SUMIFS($AB$45:$AB$73,$G$45:$G$73,$G$77,$P$45:$P$73,"SF 21-27 (taotletav raha)")</f>
        <v>499462</v>
      </c>
      <c r="AC165" s="649">
        <f>SUMIFS($AC$45:$AC$73,$G$45:$G$73,$G$77,$P$45:$P$73,"SF 21-27 (taotletav raha)")</f>
        <v>0</v>
      </c>
      <c r="AD165" s="650">
        <f>SUMIFS($AD$45:$AD$73,$G$45:$G$73,$G$77,$P$45:$P$73,"SF 21-27 (taotletav raha)")</f>
        <v>2912126</v>
      </c>
      <c r="AE165" s="648">
        <f>SUMIFS($AE$45:$AE$73,$G$45:$G$73,$G$77,$P$45:$P$73,"SF 21-27 (taotletav raha)")</f>
        <v>755005</v>
      </c>
      <c r="AF165" s="649">
        <f>SUMIFS($AF$45:$AF$73,$G$45:$G$73,$G$77,$P$45:$P$73,"SF 21-27 (taotletav raha)")</f>
        <v>0</v>
      </c>
    </row>
    <row r="166" spans="20:32" ht="15.75" thickBot="1" x14ac:dyDescent="0.3">
      <c r="U166" s="212" t="s">
        <v>281</v>
      </c>
      <c r="X166" s="495">
        <f>X165*1.2</f>
        <v>0</v>
      </c>
      <c r="Y166" s="496">
        <f>Y165</f>
        <v>0</v>
      </c>
      <c r="Z166" s="500">
        <f>Z165*1.2</f>
        <v>0</v>
      </c>
      <c r="AA166" s="651">
        <f>AA165*1.22</f>
        <v>2910041.6</v>
      </c>
      <c r="AB166" s="652">
        <f>AB165</f>
        <v>499462</v>
      </c>
      <c r="AC166" s="653">
        <f>AC165*1.22</f>
        <v>0</v>
      </c>
      <c r="AD166" s="654">
        <f>AD165*1.22</f>
        <v>3552793.7199999997</v>
      </c>
      <c r="AE166" s="652">
        <f>AE165</f>
        <v>755005</v>
      </c>
      <c r="AF166" s="653">
        <f>AF165*1.22</f>
        <v>0</v>
      </c>
    </row>
    <row r="167" spans="20:32" ht="15.75" thickBot="1" x14ac:dyDescent="0.3">
      <c r="X167" s="497"/>
      <c r="Y167" s="497"/>
      <c r="Z167" s="497"/>
      <c r="AA167" s="655"/>
      <c r="AB167" s="655"/>
      <c r="AC167" s="655"/>
      <c r="AD167" s="655"/>
      <c r="AE167" s="655"/>
      <c r="AF167" s="655"/>
    </row>
    <row r="168" spans="20:32" x14ac:dyDescent="0.25">
      <c r="U168" s="1" t="s">
        <v>10</v>
      </c>
      <c r="X168" s="493">
        <f t="shared" ref="X168:AF168" si="116">SUMIFS(X$45:X$73,$G$45:$G$73,$G$78,$P$45:$P$73,"SF 21-27 (taotletav raha)")</f>
        <v>0</v>
      </c>
      <c r="Y168" s="494">
        <f t="shared" si="116"/>
        <v>0</v>
      </c>
      <c r="Z168" s="499">
        <f t="shared" si="116"/>
        <v>0</v>
      </c>
      <c r="AA168" s="647">
        <f t="shared" si="116"/>
        <v>0</v>
      </c>
      <c r="AB168" s="648">
        <f t="shared" si="116"/>
        <v>0</v>
      </c>
      <c r="AC168" s="649">
        <f t="shared" si="116"/>
        <v>0</v>
      </c>
      <c r="AD168" s="650">
        <f t="shared" si="116"/>
        <v>0</v>
      </c>
      <c r="AE168" s="648">
        <f t="shared" si="116"/>
        <v>0</v>
      </c>
      <c r="AF168" s="649">
        <f t="shared" si="116"/>
        <v>0</v>
      </c>
    </row>
    <row r="169" spans="20:32" ht="15.75" thickBot="1" x14ac:dyDescent="0.3">
      <c r="U169" s="212" t="s">
        <v>281</v>
      </c>
      <c r="X169" s="495">
        <f>X168*1.2</f>
        <v>0</v>
      </c>
      <c r="Y169" s="496">
        <f>Y168</f>
        <v>0</v>
      </c>
      <c r="Z169" s="500">
        <f>Z168*1.2</f>
        <v>0</v>
      </c>
      <c r="AA169" s="651">
        <f>AA168*1.22</f>
        <v>0</v>
      </c>
      <c r="AB169" s="652">
        <f>AB168</f>
        <v>0</v>
      </c>
      <c r="AC169" s="653">
        <f>AC168*1.22</f>
        <v>0</v>
      </c>
      <c r="AD169" s="654">
        <f>AD168*1.22</f>
        <v>0</v>
      </c>
      <c r="AE169" s="652">
        <f>AE168</f>
        <v>0</v>
      </c>
      <c r="AF169" s="653">
        <f>AF168*1.22</f>
        <v>0</v>
      </c>
    </row>
    <row r="170" spans="20:32" ht="15.75" thickBot="1" x14ac:dyDescent="0.3">
      <c r="X170" s="497"/>
      <c r="Y170" s="497"/>
      <c r="Z170" s="497"/>
      <c r="AA170" s="655"/>
      <c r="AB170" s="655"/>
      <c r="AC170" s="655"/>
      <c r="AD170" s="655"/>
      <c r="AE170" s="655"/>
      <c r="AF170" s="655"/>
    </row>
    <row r="171" spans="20:32" x14ac:dyDescent="0.25">
      <c r="U171" s="1" t="s">
        <v>285</v>
      </c>
      <c r="X171" s="493">
        <f t="shared" ref="X171:AF171" si="117">SUMIFS(X$45:X$73,$G$45:$G$73,$G$79,$P$45:$P$73,"SF 21-27 (taotletav raha)")</f>
        <v>0</v>
      </c>
      <c r="Y171" s="494">
        <f t="shared" si="117"/>
        <v>9323</v>
      </c>
      <c r="Z171" s="499">
        <f t="shared" si="117"/>
        <v>0</v>
      </c>
      <c r="AA171" s="647">
        <f t="shared" si="117"/>
        <v>0</v>
      </c>
      <c r="AB171" s="648">
        <f t="shared" si="117"/>
        <v>40140</v>
      </c>
      <c r="AC171" s="649">
        <f t="shared" si="117"/>
        <v>90000</v>
      </c>
      <c r="AD171" s="650">
        <f t="shared" si="117"/>
        <v>0</v>
      </c>
      <c r="AE171" s="648">
        <f t="shared" si="117"/>
        <v>40140</v>
      </c>
      <c r="AF171" s="649">
        <f t="shared" si="117"/>
        <v>0</v>
      </c>
    </row>
    <row r="172" spans="20:32" ht="15.75" thickBot="1" x14ac:dyDescent="0.3">
      <c r="U172" s="212" t="s">
        <v>281</v>
      </c>
      <c r="X172" s="495">
        <f>X171*1.2</f>
        <v>0</v>
      </c>
      <c r="Y172" s="496">
        <f>Y171</f>
        <v>9323</v>
      </c>
      <c r="Z172" s="500">
        <f>Z171*1.2</f>
        <v>0</v>
      </c>
      <c r="AA172" s="651">
        <f>AA171*1.22</f>
        <v>0</v>
      </c>
      <c r="AB172" s="652">
        <f>AB171</f>
        <v>40140</v>
      </c>
      <c r="AC172" s="653">
        <f>AC171*1.22</f>
        <v>109800</v>
      </c>
      <c r="AD172" s="654">
        <f>AD171*1.22</f>
        <v>0</v>
      </c>
      <c r="AE172" s="652">
        <f>AE171</f>
        <v>40140</v>
      </c>
      <c r="AF172" s="653">
        <f>AF171*1.22</f>
        <v>0</v>
      </c>
    </row>
    <row r="173" spans="20:32" ht="15.75" thickBot="1" x14ac:dyDescent="0.3">
      <c r="X173" s="497"/>
      <c r="Y173" s="497"/>
      <c r="Z173" s="497"/>
      <c r="AA173" s="655"/>
      <c r="AB173" s="655"/>
      <c r="AC173" s="655"/>
      <c r="AD173" s="655"/>
      <c r="AE173" s="655"/>
      <c r="AF173" s="655"/>
    </row>
    <row r="174" spans="20:32" x14ac:dyDescent="0.25">
      <c r="U174" s="1" t="s">
        <v>12</v>
      </c>
      <c r="X174" s="493">
        <f t="shared" ref="X174:AF174" si="118">SUMIFS(X$45:X$73,$G$45:$G$73,$G$80,$P$45:$P$73,"SF 21-27 (taotletav raha)")</f>
        <v>0</v>
      </c>
      <c r="Y174" s="494">
        <f t="shared" si="118"/>
        <v>0</v>
      </c>
      <c r="Z174" s="499">
        <f t="shared" si="118"/>
        <v>0</v>
      </c>
      <c r="AA174" s="647">
        <f t="shared" si="118"/>
        <v>0</v>
      </c>
      <c r="AB174" s="648">
        <f t="shared" si="118"/>
        <v>63936</v>
      </c>
      <c r="AC174" s="649">
        <f t="shared" si="118"/>
        <v>120000</v>
      </c>
      <c r="AD174" s="650">
        <f t="shared" si="118"/>
        <v>0</v>
      </c>
      <c r="AE174" s="648">
        <f t="shared" si="118"/>
        <v>114000</v>
      </c>
      <c r="AF174" s="649">
        <f t="shared" si="118"/>
        <v>90000</v>
      </c>
    </row>
    <row r="175" spans="20:32" ht="15.75" thickBot="1" x14ac:dyDescent="0.3">
      <c r="U175" s="212" t="s">
        <v>281</v>
      </c>
      <c r="X175" s="495">
        <f>X174*1.2</f>
        <v>0</v>
      </c>
      <c r="Y175" s="496">
        <f>Y174</f>
        <v>0</v>
      </c>
      <c r="Z175" s="500">
        <f>Z174*1.2</f>
        <v>0</v>
      </c>
      <c r="AA175" s="651">
        <f>AA174*1.22</f>
        <v>0</v>
      </c>
      <c r="AB175" s="652">
        <f>AB174</f>
        <v>63936</v>
      </c>
      <c r="AC175" s="653">
        <f>AC174*1.22</f>
        <v>146400</v>
      </c>
      <c r="AD175" s="654">
        <f>AD174*1.22</f>
        <v>0</v>
      </c>
      <c r="AE175" s="652">
        <f>AE174</f>
        <v>114000</v>
      </c>
      <c r="AF175" s="653">
        <f>AF174*1.22</f>
        <v>109800</v>
      </c>
    </row>
    <row r="176" spans="20:32" x14ac:dyDescent="0.25">
      <c r="X176" s="498"/>
      <c r="Y176" s="498"/>
      <c r="Z176" s="498"/>
      <c r="AA176" s="655"/>
      <c r="AB176" s="655"/>
      <c r="AC176" s="655"/>
      <c r="AD176" s="655"/>
      <c r="AE176" s="655"/>
      <c r="AF176" s="655"/>
    </row>
    <row r="177" spans="21:32" x14ac:dyDescent="0.25">
      <c r="X177" s="498"/>
      <c r="Y177" s="498"/>
      <c r="Z177" s="498"/>
      <c r="AA177" s="655"/>
      <c r="AB177" s="655"/>
      <c r="AC177" s="655"/>
      <c r="AD177" s="655"/>
      <c r="AE177" s="655"/>
      <c r="AF177" s="655"/>
    </row>
    <row r="178" spans="21:32" x14ac:dyDescent="0.25">
      <c r="X178" s="498"/>
      <c r="Y178" s="498"/>
      <c r="Z178" s="498"/>
      <c r="AA178" s="655"/>
      <c r="AB178" s="655"/>
      <c r="AC178" s="655"/>
      <c r="AD178" s="655"/>
      <c r="AE178" s="655"/>
      <c r="AF178" s="655"/>
    </row>
    <row r="179" spans="21:32" ht="15.75" thickBot="1" x14ac:dyDescent="0.3">
      <c r="U179" s="208" t="s">
        <v>292</v>
      </c>
      <c r="X179" s="498"/>
      <c r="Y179" s="498"/>
      <c r="Z179" s="498"/>
      <c r="AA179" s="655"/>
      <c r="AB179" s="655"/>
      <c r="AC179" s="655"/>
      <c r="AD179" s="655"/>
      <c r="AE179" s="655"/>
      <c r="AF179" s="655"/>
    </row>
    <row r="180" spans="21:32" x14ac:dyDescent="0.25">
      <c r="U180" s="1" t="s">
        <v>9</v>
      </c>
      <c r="X180" s="493">
        <f t="shared" ref="X180:AF180" si="119">SUMIFS(X$45:X$73, $G$45:$G$73, $G$77, $P$45:$P$73, "Baaseelarve")+SUMIFS(X$45:X$73, $G$45:$G$73, $G$77, $P$45:$P$73, "Muu rahastus")+SUMIFS(X$45:X$73, $G$45:$G$73, $G$77, $P$45:$P$73, "Reserv (SR)")+SUMIFS(X$45:X$73, $G$45:$G$73, $G$77, $P$45:$P$73, "RRF")+SUMIFS(X$45:X$73, $G$45:$G$73, $G$77, $P$45:$P$73, "SF 14-20 (töös olev projekt)")</f>
        <v>0</v>
      </c>
      <c r="Y180" s="494">
        <f t="shared" si="119"/>
        <v>0</v>
      </c>
      <c r="Z180" s="499">
        <f t="shared" si="119"/>
        <v>0</v>
      </c>
      <c r="AA180" s="647">
        <f t="shared" si="119"/>
        <v>0</v>
      </c>
      <c r="AB180" s="656">
        <f t="shared" si="119"/>
        <v>0</v>
      </c>
      <c r="AC180" s="657">
        <f t="shared" si="119"/>
        <v>0</v>
      </c>
      <c r="AD180" s="658">
        <f t="shared" si="119"/>
        <v>0</v>
      </c>
      <c r="AE180" s="656">
        <f t="shared" si="119"/>
        <v>0</v>
      </c>
      <c r="AF180" s="657">
        <f t="shared" si="119"/>
        <v>0</v>
      </c>
    </row>
    <row r="181" spans="21:32" ht="15.75" thickBot="1" x14ac:dyDescent="0.3">
      <c r="U181" s="212" t="s">
        <v>281</v>
      </c>
      <c r="X181" s="495">
        <f>X180*1.2</f>
        <v>0</v>
      </c>
      <c r="Y181" s="496">
        <f>Y180</f>
        <v>0</v>
      </c>
      <c r="Z181" s="500">
        <f>Z180*1.2</f>
        <v>0</v>
      </c>
      <c r="AA181" s="651">
        <f>AA180*1.22</f>
        <v>0</v>
      </c>
      <c r="AB181" s="652">
        <f>AB180</f>
        <v>0</v>
      </c>
      <c r="AC181" s="653">
        <f>AC180*1.22</f>
        <v>0</v>
      </c>
      <c r="AD181" s="654">
        <f>AD180*1.22</f>
        <v>0</v>
      </c>
      <c r="AE181" s="652">
        <f>AE180</f>
        <v>0</v>
      </c>
      <c r="AF181" s="653">
        <f>AF180*1.22</f>
        <v>0</v>
      </c>
    </row>
    <row r="182" spans="21:32" ht="15.75" thickBot="1" x14ac:dyDescent="0.3">
      <c r="X182" s="497"/>
      <c r="Y182" s="497"/>
      <c r="Z182" s="497"/>
      <c r="AA182" s="659"/>
      <c r="AB182" s="659"/>
      <c r="AC182" s="659"/>
      <c r="AD182" s="659"/>
      <c r="AE182" s="659"/>
      <c r="AF182" s="659"/>
    </row>
    <row r="183" spans="21:32" x14ac:dyDescent="0.25">
      <c r="U183" s="1" t="s">
        <v>10</v>
      </c>
      <c r="X183" s="493">
        <f t="shared" ref="X183:AF183" si="120">SUMIFS(X$45:X$73, $G$45:$G$73, $G$78, $P$45:$P$73, "Baaseelarve")+SUMIFS(X$45:X$73, $G$45:$G$73, $G$78, $P$45:$P$73, "Muu rahastus")+SUMIFS(X$45:X$73, $G$45:$G$73, $G$78, $P$45:$P$73, "Reserv (SR)")+SUMIFS(X$45:X$73, $G$45:$G$73, $G$78, $P$45:$P$73, "RRF")+SUMIFS(X$45:X$73, $G$45:$G$73, $G$78, $P$45:$P$73, "SF 14-20 (töös olev projekt)")</f>
        <v>0</v>
      </c>
      <c r="Y183" s="494">
        <f t="shared" si="120"/>
        <v>0</v>
      </c>
      <c r="Z183" s="499">
        <f t="shared" si="120"/>
        <v>0</v>
      </c>
      <c r="AA183" s="647">
        <f t="shared" si="120"/>
        <v>0</v>
      </c>
      <c r="AB183" s="656">
        <f t="shared" si="120"/>
        <v>0</v>
      </c>
      <c r="AC183" s="657">
        <f t="shared" si="120"/>
        <v>0</v>
      </c>
      <c r="AD183" s="658">
        <f t="shared" si="120"/>
        <v>0</v>
      </c>
      <c r="AE183" s="656">
        <f t="shared" si="120"/>
        <v>0</v>
      </c>
      <c r="AF183" s="657">
        <f t="shared" si="120"/>
        <v>0</v>
      </c>
    </row>
    <row r="184" spans="21:32" ht="15.75" thickBot="1" x14ac:dyDescent="0.3">
      <c r="U184" s="212" t="s">
        <v>281</v>
      </c>
      <c r="X184" s="495">
        <f>X183*1.2</f>
        <v>0</v>
      </c>
      <c r="Y184" s="496">
        <f>Y183</f>
        <v>0</v>
      </c>
      <c r="Z184" s="500">
        <f>Z183*1.2</f>
        <v>0</v>
      </c>
      <c r="AA184" s="651">
        <f>AA183*1.22</f>
        <v>0</v>
      </c>
      <c r="AB184" s="652">
        <f>AB183</f>
        <v>0</v>
      </c>
      <c r="AC184" s="653">
        <f>AC183*1.22</f>
        <v>0</v>
      </c>
      <c r="AD184" s="654">
        <f>AD183*1.22</f>
        <v>0</v>
      </c>
      <c r="AE184" s="652">
        <f>AE183</f>
        <v>0</v>
      </c>
      <c r="AF184" s="653">
        <f>AF183*1.22</f>
        <v>0</v>
      </c>
    </row>
    <row r="185" spans="21:32" ht="15.75" thickBot="1" x14ac:dyDescent="0.3">
      <c r="X185" s="497"/>
      <c r="Y185" s="497"/>
      <c r="Z185" s="497"/>
      <c r="AA185" s="659"/>
      <c r="AB185" s="659"/>
      <c r="AC185" s="659"/>
      <c r="AD185" s="659"/>
      <c r="AE185" s="659"/>
      <c r="AF185" s="659"/>
    </row>
    <row r="186" spans="21:32" x14ac:dyDescent="0.25">
      <c r="U186" s="1" t="s">
        <v>285</v>
      </c>
      <c r="X186" s="493">
        <f t="shared" ref="X186:AF186" si="121">SUMIFS(X$45:X$73, $G$45:$G$73, $G$79, $P$45:$P$73, "Baaseelarve")+SUMIFS(X$45:X$73, $G$45:$G$73, $G$79, $P$45:$P$73, "Muu rahastus")+SUMIFS(X$45:X$73, $G$45:$G$73, $G$79, $P$45:$P$73, "Reserv (SR)")+SUMIFS(X$45:X$73, $G$45:$G$73, $G$79, $P$45:$P$73, "RRF")+SUMIFS(X$45:X$73, $G$45:$G$73, $G$79, $P$45:$P$73, "SF 14-20 (töös olev projekt)")</f>
        <v>0</v>
      </c>
      <c r="Y186" s="494">
        <f t="shared" si="121"/>
        <v>0</v>
      </c>
      <c r="Z186" s="499">
        <f t="shared" si="121"/>
        <v>0</v>
      </c>
      <c r="AA186" s="647">
        <f t="shared" si="121"/>
        <v>0</v>
      </c>
      <c r="AB186" s="656">
        <f t="shared" si="121"/>
        <v>0</v>
      </c>
      <c r="AC186" s="657">
        <f t="shared" si="121"/>
        <v>0</v>
      </c>
      <c r="AD186" s="658">
        <f t="shared" si="121"/>
        <v>0</v>
      </c>
      <c r="AE186" s="656">
        <f t="shared" si="121"/>
        <v>0</v>
      </c>
      <c r="AF186" s="657">
        <f t="shared" si="121"/>
        <v>0</v>
      </c>
    </row>
    <row r="187" spans="21:32" ht="15.75" thickBot="1" x14ac:dyDescent="0.3">
      <c r="U187" s="212" t="s">
        <v>281</v>
      </c>
      <c r="X187" s="495">
        <f>X186*1.2</f>
        <v>0</v>
      </c>
      <c r="Y187" s="496">
        <f>Y186</f>
        <v>0</v>
      </c>
      <c r="Z187" s="500">
        <f>Z186*1.2</f>
        <v>0</v>
      </c>
      <c r="AA187" s="651">
        <f>AA186*1.22</f>
        <v>0</v>
      </c>
      <c r="AB187" s="652">
        <f>AB186</f>
        <v>0</v>
      </c>
      <c r="AC187" s="653">
        <f>AC186*1.22</f>
        <v>0</v>
      </c>
      <c r="AD187" s="654">
        <f>AD186*1.22</f>
        <v>0</v>
      </c>
      <c r="AE187" s="652">
        <f>AE186</f>
        <v>0</v>
      </c>
      <c r="AF187" s="653">
        <f>AF186*1.22</f>
        <v>0</v>
      </c>
    </row>
    <row r="188" spans="21:32" ht="15.75" thickBot="1" x14ac:dyDescent="0.3">
      <c r="X188" s="497"/>
      <c r="Y188" s="497"/>
      <c r="Z188" s="497"/>
      <c r="AA188" s="659"/>
      <c r="AB188" s="659"/>
      <c r="AC188" s="659"/>
      <c r="AD188" s="659"/>
      <c r="AE188" s="659"/>
      <c r="AF188" s="659"/>
    </row>
    <row r="189" spans="21:32" x14ac:dyDescent="0.25">
      <c r="U189" s="1" t="s">
        <v>12</v>
      </c>
      <c r="X189" s="493">
        <f t="shared" ref="X189:AF189" si="122">SUMIFS(X$45:X$73, $G$45:$G$73, $G$80, $P$45:$P$73, "Baaseelarve")+SUMIFS(X$45:X$73, $G$45:$G$73, $G$80, $P$45:$P$73, "Muu rahastus")+SUMIFS(X$45:X$73, $G$45:$G$73, $G$80, $P$45:$P$73, "Reserv (SR)")+SUMIFS(X$45:X$73, $G$45:$G$73, $G$80, $P$45:$P$73, "RRF")+SUMIFS(X$45:X$73, $G$45:$G$73, $G$80, $P$45:$P$73, "SF 14-20 (töös olev projekt)")</f>
        <v>309600</v>
      </c>
      <c r="Y189" s="494">
        <f t="shared" si="122"/>
        <v>192000</v>
      </c>
      <c r="Z189" s="499">
        <f t="shared" si="122"/>
        <v>0</v>
      </c>
      <c r="AA189" s="647">
        <f t="shared" si="122"/>
        <v>4244938.04</v>
      </c>
      <c r="AB189" s="656">
        <f t="shared" si="122"/>
        <v>1519133</v>
      </c>
      <c r="AC189" s="657">
        <f t="shared" si="122"/>
        <v>22247</v>
      </c>
      <c r="AD189" s="658">
        <f t="shared" si="122"/>
        <v>648620.22</v>
      </c>
      <c r="AE189" s="656">
        <f t="shared" si="122"/>
        <v>362206</v>
      </c>
      <c r="AF189" s="657">
        <f t="shared" si="122"/>
        <v>119068.69</v>
      </c>
    </row>
    <row r="190" spans="21:32" ht="15.75" thickBot="1" x14ac:dyDescent="0.3">
      <c r="U190" s="212" t="s">
        <v>281</v>
      </c>
      <c r="X190" s="495">
        <f>X189*1.2</f>
        <v>371520</v>
      </c>
      <c r="Y190" s="496">
        <f>Y189</f>
        <v>192000</v>
      </c>
      <c r="Z190" s="500">
        <f>Z189*1.2</f>
        <v>0</v>
      </c>
      <c r="AA190" s="651">
        <f>AA189*1.22</f>
        <v>5178824.4088000003</v>
      </c>
      <c r="AB190" s="652">
        <f>AB189</f>
        <v>1519133</v>
      </c>
      <c r="AC190" s="653">
        <f>AC189*1.22</f>
        <v>27141.34</v>
      </c>
      <c r="AD190" s="654">
        <f>AD189*1.22</f>
        <v>791316.66839999997</v>
      </c>
      <c r="AE190" s="652">
        <f>AE189</f>
        <v>362206</v>
      </c>
      <c r="AF190" s="653">
        <f>AF189*1.22</f>
        <v>145263.80179999999</v>
      </c>
    </row>
    <row r="191" spans="21:32" x14ac:dyDescent="0.25">
      <c r="X191" s="497"/>
      <c r="Y191" s="497"/>
      <c r="Z191" s="497"/>
      <c r="AA191" s="659"/>
      <c r="AB191" s="659"/>
      <c r="AC191" s="659"/>
      <c r="AD191" s="659"/>
      <c r="AE191" s="659"/>
      <c r="AF191" s="659"/>
    </row>
    <row r="192" spans="21:32" x14ac:dyDescent="0.25">
      <c r="X192" s="497"/>
      <c r="Y192" s="497"/>
      <c r="Z192" s="497"/>
      <c r="AA192" s="659"/>
      <c r="AB192" s="659"/>
      <c r="AC192" s="659"/>
      <c r="AD192" s="659"/>
      <c r="AE192" s="659"/>
      <c r="AF192" s="659"/>
    </row>
    <row r="193" spans="21:32" x14ac:dyDescent="0.25">
      <c r="X193" s="497"/>
      <c r="Y193" s="497"/>
      <c r="Z193" s="497"/>
      <c r="AA193" s="659"/>
      <c r="AB193" s="659"/>
      <c r="AC193" s="659"/>
      <c r="AD193" s="659"/>
      <c r="AE193" s="659"/>
      <c r="AF193" s="659"/>
    </row>
    <row r="194" spans="21:32" ht="15.75" thickBot="1" x14ac:dyDescent="0.3">
      <c r="U194" s="208" t="s">
        <v>258</v>
      </c>
      <c r="X194" s="498"/>
      <c r="Y194" s="498"/>
      <c r="Z194" s="498"/>
      <c r="AA194" s="655"/>
      <c r="AB194" s="655"/>
      <c r="AC194" s="655"/>
      <c r="AD194" s="655"/>
      <c r="AE194" s="655"/>
      <c r="AF194" s="655"/>
    </row>
    <row r="195" spans="21:32" x14ac:dyDescent="0.25">
      <c r="U195" s="1" t="s">
        <v>9</v>
      </c>
      <c r="X195" s="493">
        <f t="shared" ref="X195:AF195" si="123">SUMIFS(X$45:X$73,$G$45:$G$73,$G$77,$P$45:$P$73,$P$79)</f>
        <v>0</v>
      </c>
      <c r="Y195" s="494">
        <f t="shared" si="123"/>
        <v>0</v>
      </c>
      <c r="Z195" s="499">
        <f t="shared" si="123"/>
        <v>0</v>
      </c>
      <c r="AA195" s="647">
        <f t="shared" si="123"/>
        <v>0</v>
      </c>
      <c r="AB195" s="656">
        <f t="shared" si="123"/>
        <v>0</v>
      </c>
      <c r="AC195" s="657">
        <f t="shared" si="123"/>
        <v>0</v>
      </c>
      <c r="AD195" s="658">
        <f t="shared" si="123"/>
        <v>0</v>
      </c>
      <c r="AE195" s="656">
        <f t="shared" si="123"/>
        <v>0</v>
      </c>
      <c r="AF195" s="657">
        <f t="shared" si="123"/>
        <v>0</v>
      </c>
    </row>
    <row r="196" spans="21:32" ht="15.75" thickBot="1" x14ac:dyDescent="0.3">
      <c r="U196" s="212" t="s">
        <v>281</v>
      </c>
      <c r="X196" s="495">
        <f>X195*1.2</f>
        <v>0</v>
      </c>
      <c r="Y196" s="496">
        <f>Y195</f>
        <v>0</v>
      </c>
      <c r="Z196" s="500">
        <f>Z195*1.2</f>
        <v>0</v>
      </c>
      <c r="AA196" s="651">
        <f>AA195*1.22</f>
        <v>0</v>
      </c>
      <c r="AB196" s="652">
        <f>AB195</f>
        <v>0</v>
      </c>
      <c r="AC196" s="653">
        <f>AC195*1.22</f>
        <v>0</v>
      </c>
      <c r="AD196" s="654">
        <f>AD195*1.22</f>
        <v>0</v>
      </c>
      <c r="AE196" s="652">
        <f>AE195</f>
        <v>0</v>
      </c>
      <c r="AF196" s="653">
        <f>AF195*1.22</f>
        <v>0</v>
      </c>
    </row>
    <row r="197" spans="21:32" ht="15.75" thickBot="1" x14ac:dyDescent="0.3">
      <c r="X197" s="497"/>
      <c r="Y197" s="497"/>
      <c r="Z197" s="497"/>
      <c r="AA197" s="659"/>
      <c r="AB197" s="659"/>
      <c r="AC197" s="659"/>
      <c r="AD197" s="659"/>
      <c r="AE197" s="659"/>
      <c r="AF197" s="659"/>
    </row>
    <row r="198" spans="21:32" x14ac:dyDescent="0.25">
      <c r="U198" s="1" t="s">
        <v>10</v>
      </c>
      <c r="X198" s="493">
        <f t="shared" ref="X198:AF198" si="124">SUMIFS(X$45:X$73,$G$45:$G$73,$G$78,$P$45:$P$73,$P$79)</f>
        <v>0</v>
      </c>
      <c r="Y198" s="494">
        <f t="shared" si="124"/>
        <v>0</v>
      </c>
      <c r="Z198" s="499">
        <f t="shared" si="124"/>
        <v>0</v>
      </c>
      <c r="AA198" s="647">
        <f t="shared" si="124"/>
        <v>0</v>
      </c>
      <c r="AB198" s="656">
        <f t="shared" si="124"/>
        <v>0</v>
      </c>
      <c r="AC198" s="657">
        <f t="shared" si="124"/>
        <v>0</v>
      </c>
      <c r="AD198" s="658">
        <f t="shared" si="124"/>
        <v>497000</v>
      </c>
      <c r="AE198" s="656">
        <f t="shared" si="124"/>
        <v>161800</v>
      </c>
      <c r="AF198" s="657">
        <f t="shared" si="124"/>
        <v>263900</v>
      </c>
    </row>
    <row r="199" spans="21:32" ht="15.75" thickBot="1" x14ac:dyDescent="0.3">
      <c r="U199" s="212" t="s">
        <v>281</v>
      </c>
      <c r="X199" s="495">
        <f>X198*1.2</f>
        <v>0</v>
      </c>
      <c r="Y199" s="496">
        <f>Y198</f>
        <v>0</v>
      </c>
      <c r="Z199" s="500">
        <f>Z198*1.2</f>
        <v>0</v>
      </c>
      <c r="AA199" s="651">
        <f>AA198*1.22</f>
        <v>0</v>
      </c>
      <c r="AB199" s="652">
        <f>AB198</f>
        <v>0</v>
      </c>
      <c r="AC199" s="653">
        <f>AC198*1.22</f>
        <v>0</v>
      </c>
      <c r="AD199" s="654">
        <f>AD198*1.22</f>
        <v>606340</v>
      </c>
      <c r="AE199" s="652">
        <f>AE198</f>
        <v>161800</v>
      </c>
      <c r="AF199" s="653">
        <f>AF198*1.22</f>
        <v>321958</v>
      </c>
    </row>
    <row r="200" spans="21:32" ht="15.75" thickBot="1" x14ac:dyDescent="0.3">
      <c r="X200" s="497"/>
      <c r="Y200" s="497"/>
      <c r="Z200" s="497"/>
      <c r="AA200" s="659"/>
      <c r="AB200" s="659"/>
      <c r="AC200" s="659"/>
      <c r="AD200" s="659"/>
      <c r="AE200" s="659"/>
      <c r="AF200" s="659"/>
    </row>
    <row r="201" spans="21:32" x14ac:dyDescent="0.25">
      <c r="U201" s="1" t="s">
        <v>285</v>
      </c>
      <c r="X201" s="493">
        <f t="shared" ref="X201:AF201" si="125">SUMIFS(X$45:X$73,$G$45:$G$73,$G$79,$P$45:$P$73,$P$79)</f>
        <v>0</v>
      </c>
      <c r="Y201" s="494">
        <f t="shared" si="125"/>
        <v>0</v>
      </c>
      <c r="Z201" s="499">
        <f t="shared" si="125"/>
        <v>0</v>
      </c>
      <c r="AA201" s="647">
        <f t="shared" si="125"/>
        <v>0</v>
      </c>
      <c r="AB201" s="656">
        <f t="shared" si="125"/>
        <v>0</v>
      </c>
      <c r="AC201" s="657">
        <f t="shared" si="125"/>
        <v>0</v>
      </c>
      <c r="AD201" s="658">
        <f t="shared" si="125"/>
        <v>0</v>
      </c>
      <c r="AE201" s="656">
        <f t="shared" si="125"/>
        <v>0</v>
      </c>
      <c r="AF201" s="657">
        <f t="shared" si="125"/>
        <v>0</v>
      </c>
    </row>
    <row r="202" spans="21:32" ht="15.75" thickBot="1" x14ac:dyDescent="0.3">
      <c r="U202" s="212" t="s">
        <v>281</v>
      </c>
      <c r="X202" s="495">
        <f>X201*1.2</f>
        <v>0</v>
      </c>
      <c r="Y202" s="496">
        <f>Y201</f>
        <v>0</v>
      </c>
      <c r="Z202" s="500">
        <f>Z201*1.2</f>
        <v>0</v>
      </c>
      <c r="AA202" s="651">
        <f>AA201*1.22</f>
        <v>0</v>
      </c>
      <c r="AB202" s="652">
        <f>AB201</f>
        <v>0</v>
      </c>
      <c r="AC202" s="653">
        <f>AC201*1.22</f>
        <v>0</v>
      </c>
      <c r="AD202" s="654">
        <f>AD201*1.22</f>
        <v>0</v>
      </c>
      <c r="AE202" s="652">
        <f>AE201</f>
        <v>0</v>
      </c>
      <c r="AF202" s="653">
        <f>AF201*1.22</f>
        <v>0</v>
      </c>
    </row>
    <row r="203" spans="21:32" ht="15.75" thickBot="1" x14ac:dyDescent="0.3">
      <c r="X203" s="497"/>
      <c r="Y203" s="497"/>
      <c r="Z203" s="497"/>
      <c r="AA203" s="659"/>
      <c r="AB203" s="659"/>
      <c r="AC203" s="659"/>
      <c r="AD203" s="659"/>
      <c r="AE203" s="659"/>
      <c r="AF203" s="659"/>
    </row>
    <row r="204" spans="21:32" x14ac:dyDescent="0.25">
      <c r="U204" s="1" t="s">
        <v>12</v>
      </c>
      <c r="X204" s="493">
        <f t="shared" ref="X204:AF204" si="126">SUMIFS(X$45:X$73,$G$45:$G$73,$G$80,$P$45:$P$73,$P$79)</f>
        <v>0</v>
      </c>
      <c r="Y204" s="494">
        <f t="shared" si="126"/>
        <v>0</v>
      </c>
      <c r="Z204" s="499">
        <f t="shared" si="126"/>
        <v>0</v>
      </c>
      <c r="AA204" s="647">
        <f t="shared" si="126"/>
        <v>0</v>
      </c>
      <c r="AB204" s="656">
        <f t="shared" si="126"/>
        <v>0</v>
      </c>
      <c r="AC204" s="657">
        <f t="shared" si="126"/>
        <v>0</v>
      </c>
      <c r="AD204" s="658">
        <f t="shared" si="126"/>
        <v>0</v>
      </c>
      <c r="AE204" s="656">
        <f t="shared" si="126"/>
        <v>0</v>
      </c>
      <c r="AF204" s="657">
        <f t="shared" si="126"/>
        <v>0</v>
      </c>
    </row>
    <row r="205" spans="21:32" ht="15.75" thickBot="1" x14ac:dyDescent="0.3">
      <c r="U205" s="212" t="s">
        <v>281</v>
      </c>
      <c r="X205" s="495">
        <f>X204*1.2</f>
        <v>0</v>
      </c>
      <c r="Y205" s="496">
        <f>Y204</f>
        <v>0</v>
      </c>
      <c r="Z205" s="500">
        <f>Z204*1.2</f>
        <v>0</v>
      </c>
      <c r="AA205" s="651">
        <f>AA204*1.22</f>
        <v>0</v>
      </c>
      <c r="AB205" s="652">
        <f>AB204</f>
        <v>0</v>
      </c>
      <c r="AC205" s="653">
        <f>AC204*1.22</f>
        <v>0</v>
      </c>
      <c r="AD205" s="654">
        <f>AD204*1.22</f>
        <v>0</v>
      </c>
      <c r="AE205" s="652">
        <f>AE204</f>
        <v>0</v>
      </c>
      <c r="AF205" s="653">
        <f>AF204*1.22</f>
        <v>0</v>
      </c>
    </row>
  </sheetData>
  <sheetProtection algorithmName="SHA-512" hashValue="bo2hHWVWgC3VVjQOtJ3Wxh6fONwzTf48SpnqaGuTVc92rurjshozenXVN0dKefN+dVcz6urf6q6B3/g8gKpUXQ==" saltValue="kXItBmG+kn2wB7hO0slFgQ==" spinCount="100000" sheet="1" objects="1" scenarios="1" sort="0" autoFilter="0"/>
  <autoFilter ref="A33:AR75" xr:uid="{26F4B7B0-4764-496D-9313-E7C884B0D6FB}">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autoFilter>
  <mergeCells count="22">
    <mergeCell ref="X32:AO32"/>
    <mergeCell ref="B17:I17"/>
    <mergeCell ref="B20:I20"/>
    <mergeCell ref="B26:I26"/>
    <mergeCell ref="B23:I23"/>
    <mergeCell ref="K20:R20"/>
    <mergeCell ref="K23:R23"/>
    <mergeCell ref="K17:R17"/>
    <mergeCell ref="AM33:AO33"/>
    <mergeCell ref="X33:Z33"/>
    <mergeCell ref="AA33:AC33"/>
    <mergeCell ref="AD33:AF33"/>
    <mergeCell ref="AG33:AI33"/>
    <mergeCell ref="AJ33:AL33"/>
    <mergeCell ref="B2:E2"/>
    <mergeCell ref="G2:K2"/>
    <mergeCell ref="R34:W34"/>
    <mergeCell ref="K26:R26"/>
    <mergeCell ref="K19:R19"/>
    <mergeCell ref="K22:R22"/>
    <mergeCell ref="K25:R25"/>
    <mergeCell ref="K28:R28"/>
  </mergeCells>
  <phoneticPr fontId="7" type="noConversion"/>
  <dataValidations count="9">
    <dataValidation type="list" allowBlank="1" showInputMessage="1" showErrorMessage="1" sqref="P98:P130 N97 O96 P31:P32" xr:uid="{258C40CF-7ED3-46AD-9DBE-9E35B6A83AF2}">
      <formula1>$R$19:$R$22</formula1>
    </dataValidation>
    <dataValidation type="list" allowBlank="1" showInputMessage="1" showErrorMessage="1" sqref="F97:F131 F31:F32" xr:uid="{6788E54C-2BD5-4096-85C2-888BADA7E1F2}">
      <formula1>$H$3:$K$3</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 type="list" allowBlank="1" showInputMessage="1" showErrorMessage="1" sqref="P35:P74" xr:uid="{D3E718C6-7AB1-4871-9C15-0A5014791696}">
      <formula1>$P$77:$P$83</formula1>
    </dataValidation>
    <dataValidation type="list" allowBlank="1" showInputMessage="1" showErrorMessage="1" sqref="E35:E74" xr:uid="{4537B685-D58B-48A6-A09A-6E7B0652C7B9}">
      <formula1>$E$77:$E$79</formula1>
    </dataValidation>
    <dataValidation type="list" allowBlank="1" showInputMessage="1" showErrorMessage="1" sqref="F35:F74" xr:uid="{EA197172-5E41-4726-AB9F-2F1BADFCFFAC}">
      <formula1>$F$77:$F$95</formula1>
    </dataValidation>
    <dataValidation type="list" allowBlank="1" showInputMessage="1" showErrorMessage="1" sqref="G35:G74" xr:uid="{58A20634-86BF-47AA-9970-DA930862660F}">
      <formula1>$G$77:$G$80</formula1>
    </dataValidation>
    <dataValidation type="list" allowBlank="1" showInputMessage="1" showErrorMessage="1" sqref="AQ35:AQ74" xr:uid="{63C0EE7F-3A35-4E09-8468-E4CA0CE5603D}">
      <formula1>$AQ$77:$AQ$81</formula1>
    </dataValidation>
  </dataValidations>
  <pageMargins left="0.7" right="0.7" top="0.75" bottom="0.75" header="0.3" footer="0.3"/>
  <pageSetup paperSize="9" orientation="portrait" r:id="rId1"/>
  <ignoredErrors>
    <ignoredError sqref="AG5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sheetPr codeName="Leht2"/>
  <dimension ref="A1:AV155"/>
  <sheetViews>
    <sheetView topLeftCell="J109" zoomScale="68" zoomScaleNormal="68" workbookViewId="0">
      <selection activeCell="J109" sqref="J109"/>
    </sheetView>
  </sheetViews>
  <sheetFormatPr defaultColWidth="8.7109375" defaultRowHeight="15" customHeight="1" x14ac:dyDescent="0.25"/>
  <cols>
    <col min="1" max="1" width="21.42578125" customWidth="1"/>
    <col min="2" max="2" width="15" customWidth="1"/>
    <col min="3" max="3" width="13.5703125" customWidth="1"/>
    <col min="4" max="4" width="14.28515625" customWidth="1"/>
    <col min="5" max="5" width="16.5703125" customWidth="1"/>
    <col min="6" max="6" width="18.42578125" customWidth="1"/>
    <col min="7" max="7" width="14.28515625" customWidth="1"/>
    <col min="8" max="8" width="11.5703125" customWidth="1"/>
    <col min="9" max="9" width="20.42578125" customWidth="1"/>
    <col min="10" max="10" width="25.42578125" style="3" customWidth="1"/>
    <col min="11" max="11" width="42" customWidth="1"/>
    <col min="12" max="12" width="12" hidden="1" customWidth="1"/>
    <col min="13" max="13" width="14.42578125" hidden="1" customWidth="1"/>
    <col min="14" max="14" width="12.42578125" customWidth="1"/>
    <col min="16" max="16" width="14.7109375" bestFit="1" customWidth="1"/>
    <col min="17" max="17" width="10.42578125" bestFit="1" customWidth="1"/>
    <col min="18" max="21" width="13.28515625" customWidth="1"/>
    <col min="22" max="22" width="9.28515625" customWidth="1"/>
    <col min="23" max="24" width="10.42578125" bestFit="1" customWidth="1"/>
    <col min="25" max="25" width="11" bestFit="1" customWidth="1"/>
    <col min="26" max="36" width="10.28515625" customWidth="1"/>
    <col min="37" max="37" width="40.42578125" customWidth="1"/>
    <col min="38" max="38" width="37" customWidth="1"/>
    <col min="39" max="39" width="60.5703125" customWidth="1"/>
    <col min="40" max="40" width="9.28515625" customWidth="1"/>
    <col min="41" max="42" width="10.28515625" bestFit="1" customWidth="1"/>
    <col min="43" max="43" width="10.5703125" customWidth="1"/>
    <col min="44" max="44" width="73.42578125" customWidth="1"/>
  </cols>
  <sheetData>
    <row r="1" spans="1:11" x14ac:dyDescent="0.25">
      <c r="A1" s="5" t="s">
        <v>298</v>
      </c>
      <c r="B1" s="165"/>
      <c r="C1" s="166"/>
      <c r="D1" s="166"/>
      <c r="E1" s="8"/>
      <c r="F1" s="308"/>
      <c r="G1" s="308"/>
      <c r="H1" s="308"/>
      <c r="I1" s="8"/>
    </row>
    <row r="2" spans="1:11" ht="30.75" customHeight="1" x14ac:dyDescent="0.25">
      <c r="A2" s="7" t="s">
        <v>2</v>
      </c>
      <c r="B2" s="750" t="s">
        <v>3</v>
      </c>
      <c r="C2" s="750"/>
      <c r="D2" s="750"/>
      <c r="E2" s="8"/>
      <c r="F2" s="8"/>
      <c r="G2" s="8"/>
      <c r="H2" s="8"/>
      <c r="I2" s="8"/>
      <c r="J2" s="4"/>
    </row>
    <row r="3" spans="1:11" x14ac:dyDescent="0.25">
      <c r="A3" s="11" t="s">
        <v>6</v>
      </c>
      <c r="B3" s="12" t="s">
        <v>299</v>
      </c>
      <c r="C3" s="13">
        <v>2023</v>
      </c>
      <c r="D3" s="13">
        <v>2024</v>
      </c>
      <c r="E3" s="8"/>
      <c r="F3" s="8"/>
      <c r="G3" s="8"/>
      <c r="H3" s="8"/>
      <c r="I3" s="8"/>
      <c r="J3" s="4"/>
      <c r="K3" s="3"/>
    </row>
    <row r="4" spans="1:11" x14ac:dyDescent="0.25">
      <c r="A4" s="5" t="s">
        <v>13</v>
      </c>
      <c r="B4" s="9">
        <f>SUM(C4:D4)</f>
        <v>73014104.604644611</v>
      </c>
      <c r="C4" s="9">
        <f>SUM(C5+C12)</f>
        <v>33153108.076893527</v>
      </c>
      <c r="D4" s="9">
        <f>SUM(D5+D12)</f>
        <v>39860996.527751088</v>
      </c>
      <c r="E4" s="8"/>
      <c r="F4" s="8"/>
      <c r="G4" s="8"/>
      <c r="H4" s="8"/>
      <c r="I4" s="8"/>
      <c r="J4" s="4"/>
      <c r="K4" s="4"/>
    </row>
    <row r="5" spans="1:11" ht="15.75" x14ac:dyDescent="0.25">
      <c r="A5" s="5" t="s">
        <v>14</v>
      </c>
      <c r="B5" s="9">
        <f>SUM(C5:D5)</f>
        <v>51006387.271311283</v>
      </c>
      <c r="C5" s="9">
        <f>SUM(C6:C11)</f>
        <v>32471263.076893527</v>
      </c>
      <c r="D5" s="9">
        <f>SUM(D6:D11)</f>
        <v>18535124.194417756</v>
      </c>
      <c r="E5" s="16"/>
      <c r="F5" s="8"/>
      <c r="G5" s="8"/>
      <c r="H5" s="8"/>
      <c r="I5" s="8"/>
      <c r="J5" s="4"/>
    </row>
    <row r="6" spans="1:11" x14ac:dyDescent="0.25">
      <c r="A6" s="30" t="s">
        <v>15</v>
      </c>
      <c r="B6" s="17">
        <f t="shared" ref="B6:B14" si="0">SUM(C6:D6)</f>
        <v>30165108.271311283</v>
      </c>
      <c r="C6" s="18">
        <f>SUMIFS(Q35:Q132,O35:O132,"Baaseelarve")</f>
        <v>17688139.076893527</v>
      </c>
      <c r="D6" s="18">
        <f>SUMIFS(R35:R132,O35:O132,"Baaseelarve")</f>
        <v>12476969.194417756</v>
      </c>
      <c r="E6" s="10"/>
      <c r="F6" s="8"/>
      <c r="G6" s="8"/>
      <c r="H6" s="8"/>
      <c r="I6" s="8"/>
      <c r="J6" s="4"/>
    </row>
    <row r="7" spans="1:11" x14ac:dyDescent="0.25">
      <c r="A7" s="30" t="s">
        <v>16</v>
      </c>
      <c r="B7" s="17">
        <f t="shared" si="0"/>
        <v>12461947</v>
      </c>
      <c r="C7" s="18">
        <f>SUMIFS(Q35:Q132,O35:O132,"Muu rahastus")</f>
        <v>8918066</v>
      </c>
      <c r="D7" s="18">
        <f>SUMIFS(R35:R132,O35:O132,"Muu rahastus")</f>
        <v>3543881</v>
      </c>
      <c r="E7" s="10"/>
      <c r="F7" s="8"/>
      <c r="G7" s="8"/>
      <c r="H7" s="8"/>
      <c r="I7" s="8"/>
      <c r="J7" s="4"/>
    </row>
    <row r="8" spans="1:11" x14ac:dyDescent="0.25">
      <c r="A8" s="30" t="s">
        <v>17</v>
      </c>
      <c r="B8" s="17">
        <f t="shared" si="0"/>
        <v>4096000</v>
      </c>
      <c r="C8" s="18">
        <f>SUMIFS(Q35:Q132,O35:O132,"Reserv (SR)")</f>
        <v>1654000</v>
      </c>
      <c r="D8" s="18">
        <f>SUMIFS(R35:R132,O35:O132,"Reserv (SR)")</f>
        <v>2442000</v>
      </c>
      <c r="E8" s="10"/>
      <c r="F8" s="8"/>
      <c r="G8" s="8"/>
      <c r="H8" s="8"/>
      <c r="I8" s="8"/>
      <c r="J8" s="4"/>
    </row>
    <row r="9" spans="1:11" hidden="1" x14ac:dyDescent="0.25">
      <c r="A9" s="30" t="s">
        <v>18</v>
      </c>
      <c r="B9" s="17">
        <f t="shared" si="0"/>
        <v>0</v>
      </c>
      <c r="C9" s="18">
        <f>SUMIFS(Q35:Q132,O35:O132,"RRF")</f>
        <v>0</v>
      </c>
      <c r="D9" s="18">
        <f>SUMIFS(R35:R132,O35:O132,"RRF")</f>
        <v>0</v>
      </c>
      <c r="E9" s="10"/>
      <c r="F9" s="8"/>
      <c r="G9" s="8"/>
      <c r="H9" s="8"/>
      <c r="I9" s="8"/>
      <c r="J9" s="4"/>
    </row>
    <row r="10" spans="1:11" x14ac:dyDescent="0.25">
      <c r="A10" s="30" t="s">
        <v>19</v>
      </c>
      <c r="B10" s="17">
        <f t="shared" si="0"/>
        <v>4283332</v>
      </c>
      <c r="C10" s="18">
        <f>SUMIFS(Q35:Q132,O35:O132,"SF 14-20 (töös olev projekt)")</f>
        <v>4211058</v>
      </c>
      <c r="D10" s="18">
        <f>SUMIFS(R35:R132,O35:O132,"SF 14-20 (töös olev projekt)")</f>
        <v>72274</v>
      </c>
      <c r="E10" s="10"/>
      <c r="F10" s="8"/>
      <c r="G10" s="8"/>
      <c r="H10" s="8"/>
      <c r="I10" s="8"/>
      <c r="J10" s="4"/>
    </row>
    <row r="11" spans="1:11" x14ac:dyDescent="0.25">
      <c r="A11" s="30" t="s">
        <v>20</v>
      </c>
      <c r="B11" s="17">
        <f>SUM(C11:D11)</f>
        <v>0</v>
      </c>
      <c r="C11" s="18"/>
      <c r="D11" s="18"/>
      <c r="E11" s="10"/>
      <c r="F11" s="8"/>
      <c r="G11" s="8"/>
      <c r="H11" s="8"/>
      <c r="I11" s="8"/>
      <c r="J11" s="4"/>
    </row>
    <row r="12" spans="1:11" x14ac:dyDescent="0.25">
      <c r="A12" s="5" t="s">
        <v>21</v>
      </c>
      <c r="B12" s="9">
        <f t="shared" si="0"/>
        <v>22007717.333333332</v>
      </c>
      <c r="C12" s="9">
        <f>SUM(C13:C14)</f>
        <v>681845</v>
      </c>
      <c r="D12" s="9">
        <f>SUM(D13:D14)</f>
        <v>21325872.333333332</v>
      </c>
      <c r="E12" s="10"/>
      <c r="F12" s="8"/>
      <c r="G12" s="8"/>
      <c r="H12" s="8"/>
      <c r="I12" s="8"/>
      <c r="J12" s="4"/>
    </row>
    <row r="13" spans="1:11" x14ac:dyDescent="0.25">
      <c r="A13" s="30" t="s">
        <v>22</v>
      </c>
      <c r="B13" s="17">
        <f t="shared" si="0"/>
        <v>16478427</v>
      </c>
      <c r="C13" s="18">
        <f>SUMIFS(Q35:Q133,O35:O133,"RES IKT (vaja juurde taotleda)")</f>
        <v>0</v>
      </c>
      <c r="D13" s="18">
        <f>SUMIFS(R35:R133,O35:O133,"RES IKT (vaja juurde taotleda)")</f>
        <v>16478427</v>
      </c>
      <c r="E13" s="10" t="s">
        <v>300</v>
      </c>
      <c r="F13" s="8"/>
      <c r="G13" s="8"/>
      <c r="H13" s="8"/>
      <c r="I13" s="8"/>
      <c r="J13" s="4"/>
    </row>
    <row r="14" spans="1:11" x14ac:dyDescent="0.25">
      <c r="A14" s="30" t="s">
        <v>24</v>
      </c>
      <c r="B14" s="17">
        <f t="shared" si="0"/>
        <v>5529290.333333333</v>
      </c>
      <c r="C14" s="18">
        <f>SUMIFS(Q35:Q132,O35:O132,"SF 21-27 (taotletav raha)")</f>
        <v>681845</v>
      </c>
      <c r="D14" s="18">
        <f>SUMIFS(R35:R132,O35:O132,"SF 21-27 (taotletav raha)")</f>
        <v>4847445.333333333</v>
      </c>
      <c r="E14" s="10"/>
      <c r="F14" s="8"/>
      <c r="G14" s="8"/>
      <c r="H14" s="8"/>
      <c r="I14" s="8"/>
      <c r="J14" s="4"/>
    </row>
    <row r="15" spans="1:11" x14ac:dyDescent="0.25">
      <c r="A15" s="6"/>
      <c r="B15" s="6"/>
      <c r="C15" s="6"/>
      <c r="D15" s="6"/>
      <c r="E15" s="6"/>
      <c r="F15" s="6"/>
      <c r="G15" s="6"/>
      <c r="H15" s="6"/>
      <c r="I15" s="6"/>
    </row>
    <row r="16" spans="1:11" x14ac:dyDescent="0.25">
      <c r="A16" s="10" t="s">
        <v>26</v>
      </c>
      <c r="B16" s="6"/>
      <c r="C16" s="6"/>
      <c r="D16" s="6"/>
      <c r="E16" s="6"/>
      <c r="F16" s="6"/>
      <c r="G16" s="6"/>
      <c r="H16" s="6"/>
      <c r="I16" s="6"/>
    </row>
    <row r="17" spans="1:44" ht="29.1" customHeight="1" x14ac:dyDescent="0.25">
      <c r="A17" s="52" t="s">
        <v>27</v>
      </c>
      <c r="B17" s="745" t="s">
        <v>28</v>
      </c>
      <c r="C17" s="745"/>
      <c r="D17" s="745"/>
      <c r="E17" s="745"/>
      <c r="F17" s="745"/>
      <c r="G17" s="745"/>
      <c r="H17" s="745"/>
      <c r="I17" s="745"/>
      <c r="J17" s="309" t="s">
        <v>29</v>
      </c>
      <c r="K17" s="762" t="s">
        <v>30</v>
      </c>
      <c r="L17" s="726"/>
      <c r="M17" s="726"/>
      <c r="N17" s="726"/>
      <c r="O17" s="726"/>
      <c r="P17" s="726"/>
      <c r="Q17" s="763"/>
    </row>
    <row r="18" spans="1:44" ht="30" x14ac:dyDescent="0.25">
      <c r="A18" s="53" t="s">
        <v>301</v>
      </c>
      <c r="B18" s="105" t="s">
        <v>32</v>
      </c>
      <c r="C18" s="106" t="s">
        <v>33</v>
      </c>
      <c r="D18" s="106" t="s">
        <v>34</v>
      </c>
      <c r="E18" s="106" t="s">
        <v>35</v>
      </c>
      <c r="F18" s="106" t="s">
        <v>36</v>
      </c>
      <c r="G18" s="106" t="s">
        <v>37</v>
      </c>
      <c r="H18" s="106" t="s">
        <v>38</v>
      </c>
      <c r="I18" s="198" t="s">
        <v>39</v>
      </c>
      <c r="J18" s="310"/>
      <c r="K18" s="312"/>
      <c r="Q18" s="66"/>
    </row>
    <row r="19" spans="1:44" x14ac:dyDescent="0.25">
      <c r="A19" s="371" t="s">
        <v>302</v>
      </c>
      <c r="B19" s="372">
        <v>0</v>
      </c>
      <c r="C19" s="373"/>
      <c r="D19" s="373"/>
      <c r="E19" s="373"/>
      <c r="F19" s="373"/>
      <c r="G19" s="373"/>
      <c r="H19" s="373"/>
      <c r="I19" s="374">
        <v>1006500</v>
      </c>
      <c r="J19" s="311"/>
      <c r="K19" s="757" t="s">
        <v>41</v>
      </c>
      <c r="L19" s="730"/>
      <c r="M19" s="730"/>
      <c r="N19" s="730"/>
      <c r="O19" s="730"/>
      <c r="P19" s="730"/>
      <c r="Q19" s="758"/>
    </row>
    <row r="20" spans="1:44" ht="29.1" customHeight="1" x14ac:dyDescent="0.25">
      <c r="A20" s="362" t="s">
        <v>42</v>
      </c>
      <c r="B20" s="760"/>
      <c r="C20" s="760"/>
      <c r="D20" s="760"/>
      <c r="E20" s="760"/>
      <c r="F20" s="760"/>
      <c r="G20" s="760"/>
      <c r="H20" s="760"/>
      <c r="I20" s="761"/>
      <c r="J20" s="368"/>
      <c r="K20" s="762" t="s">
        <v>44</v>
      </c>
      <c r="L20" s="726"/>
      <c r="M20" s="726"/>
      <c r="N20" s="726"/>
      <c r="O20" s="726"/>
      <c r="P20" s="726"/>
      <c r="Q20" s="763"/>
    </row>
    <row r="21" spans="1:44" ht="30" x14ac:dyDescent="0.25">
      <c r="A21" s="363" t="s">
        <v>301</v>
      </c>
      <c r="B21" s="105" t="s">
        <v>32</v>
      </c>
      <c r="C21" s="106" t="s">
        <v>33</v>
      </c>
      <c r="D21" s="106" t="s">
        <v>34</v>
      </c>
      <c r="E21" s="106" t="s">
        <v>35</v>
      </c>
      <c r="F21" s="106" t="s">
        <v>36</v>
      </c>
      <c r="G21" s="106" t="s">
        <v>37</v>
      </c>
      <c r="H21" s="106" t="s">
        <v>38</v>
      </c>
      <c r="I21" s="364" t="s">
        <v>39</v>
      </c>
      <c r="J21" s="369"/>
      <c r="K21" s="312"/>
      <c r="Q21" s="66"/>
    </row>
    <row r="22" spans="1:44" x14ac:dyDescent="0.25">
      <c r="A22" s="378" t="s">
        <v>302</v>
      </c>
      <c r="B22" s="372">
        <v>0</v>
      </c>
      <c r="C22" s="373"/>
      <c r="D22" s="373"/>
      <c r="E22" s="373"/>
      <c r="F22" s="373"/>
      <c r="G22" s="373"/>
      <c r="H22" s="373"/>
      <c r="I22" s="379">
        <v>7</v>
      </c>
      <c r="J22" s="370"/>
      <c r="K22" s="757" t="s">
        <v>46</v>
      </c>
      <c r="L22" s="730"/>
      <c r="M22" s="730"/>
      <c r="N22" s="730"/>
      <c r="O22" s="730"/>
      <c r="P22" s="730"/>
      <c r="Q22" s="758"/>
    </row>
    <row r="23" spans="1:44" ht="29.1" customHeight="1" x14ac:dyDescent="0.25">
      <c r="A23" s="362" t="s">
        <v>42</v>
      </c>
      <c r="B23" s="760" t="s">
        <v>47</v>
      </c>
      <c r="C23" s="760"/>
      <c r="D23" s="760"/>
      <c r="E23" s="760"/>
      <c r="F23" s="760"/>
      <c r="G23" s="760"/>
      <c r="H23" s="760"/>
      <c r="I23" s="761"/>
      <c r="J23" s="368"/>
      <c r="K23" s="762" t="s">
        <v>48</v>
      </c>
      <c r="L23" s="726"/>
      <c r="M23" s="726"/>
      <c r="N23" s="726"/>
      <c r="O23" s="726"/>
      <c r="P23" s="726"/>
      <c r="Q23" s="763"/>
    </row>
    <row r="24" spans="1:44" ht="30" x14ac:dyDescent="0.25">
      <c r="A24" s="365" t="s">
        <v>301</v>
      </c>
      <c r="B24" s="375" t="s">
        <v>32</v>
      </c>
      <c r="C24" s="376" t="s">
        <v>33</v>
      </c>
      <c r="D24" s="376" t="s">
        <v>34</v>
      </c>
      <c r="E24" s="376" t="s">
        <v>35</v>
      </c>
      <c r="F24" s="376" t="s">
        <v>36</v>
      </c>
      <c r="G24" s="376" t="s">
        <v>37</v>
      </c>
      <c r="H24" s="376" t="s">
        <v>38</v>
      </c>
      <c r="I24" s="377" t="s">
        <v>39</v>
      </c>
      <c r="J24" s="369"/>
      <c r="K24" s="312"/>
      <c r="Q24" s="66"/>
    </row>
    <row r="25" spans="1:44" x14ac:dyDescent="0.25">
      <c r="A25" s="381" t="s">
        <v>302</v>
      </c>
      <c r="B25" s="382">
        <v>0</v>
      </c>
      <c r="C25" s="383"/>
      <c r="D25" s="383"/>
      <c r="E25" s="383"/>
      <c r="F25" s="383"/>
      <c r="G25" s="383"/>
      <c r="H25" s="383"/>
      <c r="I25" s="384">
        <v>2</v>
      </c>
      <c r="J25" s="311"/>
      <c r="K25" s="757" t="s">
        <v>50</v>
      </c>
      <c r="L25" s="730"/>
      <c r="M25" s="730"/>
      <c r="N25" s="730"/>
      <c r="O25" s="730"/>
      <c r="P25" s="730"/>
      <c r="Q25" s="758"/>
    </row>
    <row r="26" spans="1:44" ht="75" x14ac:dyDescent="0.25">
      <c r="A26" s="362" t="s">
        <v>51</v>
      </c>
      <c r="B26" s="760" t="s">
        <v>52</v>
      </c>
      <c r="C26" s="760"/>
      <c r="D26" s="760"/>
      <c r="E26" s="760"/>
      <c r="F26" s="760"/>
      <c r="G26" s="760"/>
      <c r="H26" s="760"/>
      <c r="I26" s="761"/>
      <c r="J26" s="368"/>
      <c r="K26" s="762" t="s">
        <v>53</v>
      </c>
      <c r="L26" s="726"/>
      <c r="M26" s="726"/>
      <c r="N26" s="726"/>
      <c r="O26" s="726"/>
      <c r="P26" s="726"/>
      <c r="Q26" s="763"/>
    </row>
    <row r="27" spans="1:44" ht="30.75" customHeight="1" x14ac:dyDescent="0.25">
      <c r="A27" s="363" t="s">
        <v>301</v>
      </c>
      <c r="B27" s="105" t="s">
        <v>32</v>
      </c>
      <c r="C27" s="106" t="s">
        <v>33</v>
      </c>
      <c r="D27" s="106" t="s">
        <v>34</v>
      </c>
      <c r="E27" s="106" t="s">
        <v>35</v>
      </c>
      <c r="F27" s="106" t="s">
        <v>36</v>
      </c>
      <c r="G27" s="106" t="s">
        <v>37</v>
      </c>
      <c r="H27" s="106" t="s">
        <v>38</v>
      </c>
      <c r="I27" s="364" t="s">
        <v>39</v>
      </c>
      <c r="J27" s="369"/>
      <c r="K27" s="312"/>
      <c r="Q27" s="66"/>
    </row>
    <row r="28" spans="1:44" x14ac:dyDescent="0.25">
      <c r="A28" s="365" t="s">
        <v>303</v>
      </c>
      <c r="B28" s="366">
        <v>0</v>
      </c>
      <c r="C28" s="367"/>
      <c r="D28" s="367"/>
      <c r="E28" s="367"/>
      <c r="F28" s="367"/>
      <c r="G28" s="367"/>
      <c r="H28" s="367"/>
      <c r="I28" s="380">
        <v>0.9</v>
      </c>
      <c r="J28" s="370"/>
      <c r="K28" s="757" t="s">
        <v>54</v>
      </c>
      <c r="L28" s="730"/>
      <c r="M28" s="730"/>
      <c r="N28" s="730"/>
      <c r="O28" s="730"/>
      <c r="P28" s="730"/>
      <c r="Q28" s="758"/>
    </row>
    <row r="29" spans="1:44" x14ac:dyDescent="0.25">
      <c r="A29" s="3"/>
      <c r="B29" s="3"/>
      <c r="C29" s="1"/>
      <c r="D29" s="1"/>
      <c r="E29" s="1"/>
      <c r="F29" s="1"/>
      <c r="G29" s="1"/>
      <c r="H29" s="1"/>
      <c r="I29" s="1"/>
    </row>
    <row r="31" spans="1:44" x14ac:dyDescent="0.25">
      <c r="C31" s="2"/>
      <c r="D31" s="2"/>
    </row>
    <row r="32" spans="1:44" ht="15.75" thickBot="1" x14ac:dyDescent="0.3">
      <c r="A32" s="1"/>
      <c r="B32" s="1"/>
      <c r="C32" s="72"/>
      <c r="D32" s="72"/>
      <c r="E32" s="1"/>
      <c r="F32" s="1"/>
      <c r="G32" s="1"/>
      <c r="H32" s="1"/>
      <c r="I32" s="1"/>
      <c r="K32" s="1"/>
      <c r="L32" s="1"/>
      <c r="M32" s="1"/>
      <c r="N32" s="1"/>
      <c r="O32" s="1"/>
      <c r="P32" s="1"/>
      <c r="Q32" s="1"/>
      <c r="R32" s="1"/>
      <c r="S32" s="1"/>
      <c r="T32" s="1"/>
      <c r="U32" s="1"/>
      <c r="V32" s="751" t="s">
        <v>55</v>
      </c>
      <c r="W32" s="751"/>
      <c r="X32" s="751"/>
      <c r="Y32" s="752"/>
      <c r="Z32" s="752"/>
      <c r="AA32" s="752"/>
      <c r="AB32" s="752"/>
      <c r="AC32" s="752"/>
      <c r="AD32" s="752"/>
      <c r="AE32" s="752"/>
      <c r="AF32" s="752"/>
      <c r="AG32" s="752"/>
      <c r="AH32" s="752"/>
      <c r="AI32" s="752"/>
      <c r="AJ32" s="753"/>
      <c r="AK32" s="1"/>
      <c r="AL32" s="1"/>
      <c r="AM32" s="1"/>
      <c r="AN32" s="1"/>
      <c r="AO32" s="764" t="s">
        <v>55</v>
      </c>
      <c r="AP32" s="765"/>
      <c r="AQ32" s="766"/>
      <c r="AR32" s="1"/>
    </row>
    <row r="33" spans="1:48" ht="45.75" thickBot="1" x14ac:dyDescent="0.3">
      <c r="A33" s="23" t="s">
        <v>56</v>
      </c>
      <c r="B33" s="274" t="s">
        <v>57</v>
      </c>
      <c r="C33" s="274" t="s">
        <v>58</v>
      </c>
      <c r="D33" s="274" t="s">
        <v>59</v>
      </c>
      <c r="E33" s="274" t="s">
        <v>60</v>
      </c>
      <c r="F33" s="274" t="s">
        <v>304</v>
      </c>
      <c r="G33" s="274" t="s">
        <v>305</v>
      </c>
      <c r="H33" s="274" t="s">
        <v>63</v>
      </c>
      <c r="I33" s="274" t="s">
        <v>64</v>
      </c>
      <c r="J33" s="274" t="s">
        <v>306</v>
      </c>
      <c r="K33" s="275" t="s">
        <v>66</v>
      </c>
      <c r="L33" s="276" t="s">
        <v>67</v>
      </c>
      <c r="M33" s="274" t="s">
        <v>68</v>
      </c>
      <c r="N33" s="274" t="s">
        <v>69</v>
      </c>
      <c r="O33" s="274" t="s">
        <v>70</v>
      </c>
      <c r="P33" s="285" t="s">
        <v>71</v>
      </c>
      <c r="Q33" s="23">
        <v>2023</v>
      </c>
      <c r="R33" s="216">
        <v>2024</v>
      </c>
      <c r="S33" s="216">
        <v>2025</v>
      </c>
      <c r="T33" s="216">
        <v>2026</v>
      </c>
      <c r="U33" s="215">
        <v>2027</v>
      </c>
      <c r="V33" s="759" t="s">
        <v>307</v>
      </c>
      <c r="W33" s="759"/>
      <c r="X33" s="759"/>
      <c r="Y33" s="759">
        <v>2024</v>
      </c>
      <c r="Z33" s="738"/>
      <c r="AA33" s="739"/>
      <c r="AB33" s="759">
        <v>2025</v>
      </c>
      <c r="AC33" s="738"/>
      <c r="AD33" s="739"/>
      <c r="AE33" s="759">
        <v>2026</v>
      </c>
      <c r="AF33" s="738"/>
      <c r="AG33" s="739"/>
      <c r="AH33" s="759">
        <v>2027</v>
      </c>
      <c r="AI33" s="738"/>
      <c r="AJ33" s="738"/>
      <c r="AK33" s="21" t="s">
        <v>308</v>
      </c>
      <c r="AL33" s="22" t="s">
        <v>309</v>
      </c>
      <c r="AM33" s="22" t="s">
        <v>75</v>
      </c>
      <c r="AN33" s="21" t="s">
        <v>310</v>
      </c>
      <c r="AO33" s="759" t="s">
        <v>311</v>
      </c>
      <c r="AP33" s="767"/>
      <c r="AQ33" s="768"/>
      <c r="AR33" s="69" t="s">
        <v>312</v>
      </c>
    </row>
    <row r="34" spans="1:48" s="14" customFormat="1" ht="143.1" customHeight="1" thickBot="1" x14ac:dyDescent="0.3">
      <c r="A34" s="286" t="s">
        <v>78</v>
      </c>
      <c r="B34" s="344" t="s">
        <v>79</v>
      </c>
      <c r="C34" s="278" t="s">
        <v>80</v>
      </c>
      <c r="D34" s="278" t="s">
        <v>81</v>
      </c>
      <c r="E34" s="279" t="s">
        <v>82</v>
      </c>
      <c r="F34" s="279" t="s">
        <v>82</v>
      </c>
      <c r="G34" s="279" t="s">
        <v>83</v>
      </c>
      <c r="H34" s="278" t="s">
        <v>84</v>
      </c>
      <c r="I34" s="278" t="s">
        <v>85</v>
      </c>
      <c r="J34" s="278" t="s">
        <v>86</v>
      </c>
      <c r="K34" s="278" t="s">
        <v>313</v>
      </c>
      <c r="L34" s="280" t="s">
        <v>88</v>
      </c>
      <c r="M34" s="280" t="s">
        <v>89</v>
      </c>
      <c r="N34" s="281" t="s">
        <v>314</v>
      </c>
      <c r="O34" s="279" t="s">
        <v>82</v>
      </c>
      <c r="P34" s="282"/>
      <c r="Q34" s="754"/>
      <c r="R34" s="755"/>
      <c r="S34" s="755"/>
      <c r="T34" s="755"/>
      <c r="U34" s="756"/>
      <c r="V34" s="315" t="s">
        <v>91</v>
      </c>
      <c r="W34" s="316" t="s">
        <v>92</v>
      </c>
      <c r="X34" s="317" t="s">
        <v>93</v>
      </c>
      <c r="Y34" s="318" t="s">
        <v>91</v>
      </c>
      <c r="Z34" s="316" t="s">
        <v>92</v>
      </c>
      <c r="AA34" s="319" t="s">
        <v>93</v>
      </c>
      <c r="AB34" s="28" t="s">
        <v>91</v>
      </c>
      <c r="AC34" s="25" t="s">
        <v>92</v>
      </c>
      <c r="AD34" s="26" t="s">
        <v>93</v>
      </c>
      <c r="AE34" s="28" t="s">
        <v>91</v>
      </c>
      <c r="AF34" s="25" t="s">
        <v>92</v>
      </c>
      <c r="AG34" s="26" t="s">
        <v>93</v>
      </c>
      <c r="AH34" s="28" t="s">
        <v>91</v>
      </c>
      <c r="AI34" s="25" t="s">
        <v>92</v>
      </c>
      <c r="AJ34" s="27" t="s">
        <v>93</v>
      </c>
      <c r="AK34" s="287" t="s">
        <v>94</v>
      </c>
      <c r="AL34" s="288" t="s">
        <v>82</v>
      </c>
      <c r="AM34" s="300"/>
      <c r="AN34" s="290"/>
      <c r="AO34" s="28" t="s">
        <v>91</v>
      </c>
      <c r="AP34" s="25" t="s">
        <v>92</v>
      </c>
      <c r="AQ34" s="26" t="s">
        <v>93</v>
      </c>
      <c r="AR34" s="289" t="s">
        <v>315</v>
      </c>
      <c r="AV34" s="68"/>
    </row>
    <row r="35" spans="1:48" s="19" customFormat="1" ht="315" x14ac:dyDescent="0.25">
      <c r="A35" s="244" t="s">
        <v>3</v>
      </c>
      <c r="B35" s="244" t="s">
        <v>99</v>
      </c>
      <c r="C35" s="244"/>
      <c r="D35" s="245" t="s">
        <v>100</v>
      </c>
      <c r="E35" s="245" t="s">
        <v>101</v>
      </c>
      <c r="F35" s="245" t="s">
        <v>102</v>
      </c>
      <c r="G35" s="245" t="s">
        <v>103</v>
      </c>
      <c r="H35" s="245"/>
      <c r="I35" s="245" t="s">
        <v>104</v>
      </c>
      <c r="J35" s="245" t="s">
        <v>105</v>
      </c>
      <c r="K35" s="245" t="s">
        <v>106</v>
      </c>
      <c r="L35" s="245"/>
      <c r="M35" s="245"/>
      <c r="N35" s="245"/>
      <c r="O35" s="245" t="s">
        <v>109</v>
      </c>
      <c r="P35" s="228">
        <f t="shared" ref="P35:P66" si="1">SUM(Q35:U35)</f>
        <v>161779</v>
      </c>
      <c r="Q35" s="238">
        <f t="shared" ref="Q35:Q131" si="2">SUM(V35:X35)</f>
        <v>0</v>
      </c>
      <c r="R35" s="291">
        <f t="shared" ref="R35:R66" si="3">SUM(Y35:AA35)</f>
        <v>161779</v>
      </c>
      <c r="S35" s="291">
        <f t="shared" ref="S35:S66" si="4">SUM(AB35:AD35)</f>
        <v>0</v>
      </c>
      <c r="T35" s="291">
        <f t="shared" ref="T35:T66" si="5">SUM(AE35:AG35)</f>
        <v>0</v>
      </c>
      <c r="U35" s="313">
        <f t="shared" ref="U35:U66" si="6">SUM(AH35:AJ35)</f>
        <v>0</v>
      </c>
      <c r="V35" s="466"/>
      <c r="W35" s="291"/>
      <c r="X35" s="467"/>
      <c r="Y35" s="466">
        <v>88000</v>
      </c>
      <c r="Z35" s="291">
        <v>73779</v>
      </c>
      <c r="AA35" s="468"/>
      <c r="AB35" s="231"/>
      <c r="AC35" s="232"/>
      <c r="AD35" s="234"/>
      <c r="AE35" s="233"/>
      <c r="AF35" s="232"/>
      <c r="AG35" s="234"/>
      <c r="AH35" s="233"/>
      <c r="AI35" s="232"/>
      <c r="AJ35" s="232"/>
      <c r="AK35" s="235" t="s">
        <v>110</v>
      </c>
      <c r="AL35" s="236" t="s">
        <v>111</v>
      </c>
      <c r="AM35" s="246"/>
      <c r="AN35" s="303"/>
      <c r="AO35" s="294">
        <v>0</v>
      </c>
      <c r="AP35" s="221">
        <v>0</v>
      </c>
      <c r="AQ35" s="295">
        <v>0</v>
      </c>
      <c r="AR35" s="220" t="s">
        <v>316</v>
      </c>
    </row>
    <row r="36" spans="1:48" s="35" customFormat="1" ht="315" x14ac:dyDescent="0.25">
      <c r="A36" s="244" t="s">
        <v>3</v>
      </c>
      <c r="B36" s="244" t="s">
        <v>99</v>
      </c>
      <c r="C36" s="244"/>
      <c r="D36" s="245" t="s">
        <v>100</v>
      </c>
      <c r="E36" s="245" t="s">
        <v>101</v>
      </c>
      <c r="F36" s="245" t="s">
        <v>102</v>
      </c>
      <c r="G36" s="245" t="s">
        <v>103</v>
      </c>
      <c r="H36" s="245"/>
      <c r="I36" s="245" t="s">
        <v>104</v>
      </c>
      <c r="J36" s="245" t="s">
        <v>112</v>
      </c>
      <c r="K36" s="245" t="s">
        <v>113</v>
      </c>
      <c r="L36" s="245"/>
      <c r="M36" s="245"/>
      <c r="N36" s="245" t="s">
        <v>115</v>
      </c>
      <c r="O36" s="245" t="s">
        <v>109</v>
      </c>
      <c r="P36" s="228">
        <f t="shared" si="1"/>
        <v>689127</v>
      </c>
      <c r="Q36" s="229">
        <f t="shared" si="2"/>
        <v>0</v>
      </c>
      <c r="R36" s="230">
        <f t="shared" si="3"/>
        <v>689127</v>
      </c>
      <c r="S36" s="230">
        <f t="shared" si="4"/>
        <v>0</v>
      </c>
      <c r="T36" s="230">
        <f t="shared" si="5"/>
        <v>0</v>
      </c>
      <c r="U36" s="231">
        <f t="shared" si="6"/>
        <v>0</v>
      </c>
      <c r="V36" s="321"/>
      <c r="W36" s="320"/>
      <c r="X36" s="250"/>
      <c r="Y36" s="321">
        <v>590850</v>
      </c>
      <c r="Z36" s="320">
        <v>98277</v>
      </c>
      <c r="AA36" s="252"/>
      <c r="AB36" s="231"/>
      <c r="AC36" s="232"/>
      <c r="AD36" s="234"/>
      <c r="AE36" s="233"/>
      <c r="AF36" s="232"/>
      <c r="AG36" s="234"/>
      <c r="AH36" s="233"/>
      <c r="AI36" s="232"/>
      <c r="AJ36" s="232"/>
      <c r="AK36" s="235" t="s">
        <v>110</v>
      </c>
      <c r="AL36" s="236" t="s">
        <v>142</v>
      </c>
      <c r="AM36" s="246"/>
      <c r="AN36" s="303"/>
      <c r="AO36" s="294">
        <v>0</v>
      </c>
      <c r="AP36" s="221">
        <v>0</v>
      </c>
      <c r="AQ36" s="295">
        <v>0</v>
      </c>
      <c r="AR36" s="220" t="s">
        <v>317</v>
      </c>
    </row>
    <row r="37" spans="1:48" s="35" customFormat="1" ht="135" x14ac:dyDescent="0.25">
      <c r="A37" s="244" t="s">
        <v>3</v>
      </c>
      <c r="B37" s="244" t="s">
        <v>99</v>
      </c>
      <c r="C37" s="244"/>
      <c r="D37" s="245" t="s">
        <v>117</v>
      </c>
      <c r="E37" s="245" t="s">
        <v>101</v>
      </c>
      <c r="F37" s="245" t="s">
        <v>118</v>
      </c>
      <c r="G37" s="245" t="s">
        <v>103</v>
      </c>
      <c r="H37" s="245"/>
      <c r="I37" s="245" t="s">
        <v>119</v>
      </c>
      <c r="J37" s="245" t="s">
        <v>120</v>
      </c>
      <c r="K37" s="245" t="s">
        <v>113</v>
      </c>
      <c r="L37" s="245"/>
      <c r="M37" s="245"/>
      <c r="N37" s="245"/>
      <c r="O37" s="245" t="s">
        <v>109</v>
      </c>
      <c r="P37" s="228">
        <f t="shared" si="1"/>
        <v>479149</v>
      </c>
      <c r="Q37" s="229">
        <f t="shared" si="2"/>
        <v>0</v>
      </c>
      <c r="R37" s="230">
        <f t="shared" si="3"/>
        <v>374383</v>
      </c>
      <c r="S37" s="230">
        <f t="shared" si="4"/>
        <v>70766</v>
      </c>
      <c r="T37" s="230">
        <f t="shared" si="5"/>
        <v>34000</v>
      </c>
      <c r="U37" s="231">
        <f t="shared" si="6"/>
        <v>0</v>
      </c>
      <c r="V37" s="321"/>
      <c r="W37" s="320"/>
      <c r="X37" s="250"/>
      <c r="Y37" s="321">
        <v>294500</v>
      </c>
      <c r="Z37" s="320">
        <v>79883</v>
      </c>
      <c r="AA37" s="252">
        <v>0</v>
      </c>
      <c r="AB37" s="231">
        <v>55200</v>
      </c>
      <c r="AC37" s="232">
        <v>15566</v>
      </c>
      <c r="AD37" s="234">
        <v>0</v>
      </c>
      <c r="AE37" s="233">
        <v>0</v>
      </c>
      <c r="AF37" s="232">
        <v>0</v>
      </c>
      <c r="AG37" s="234">
        <v>34000</v>
      </c>
      <c r="AH37" s="233">
        <v>0</v>
      </c>
      <c r="AI37" s="232">
        <v>0</v>
      </c>
      <c r="AJ37" s="232">
        <v>0</v>
      </c>
      <c r="AK37" s="235" t="s">
        <v>122</v>
      </c>
      <c r="AL37" s="236" t="s">
        <v>318</v>
      </c>
      <c r="AM37" s="246"/>
      <c r="AN37" s="303"/>
      <c r="AO37" s="294">
        <v>0</v>
      </c>
      <c r="AP37" s="221">
        <v>0</v>
      </c>
      <c r="AQ37" s="295">
        <v>0</v>
      </c>
      <c r="AR37" s="220" t="s">
        <v>319</v>
      </c>
    </row>
    <row r="38" spans="1:48" s="35" customFormat="1" ht="90" x14ac:dyDescent="0.25">
      <c r="A38" s="244" t="s">
        <v>3</v>
      </c>
      <c r="B38" s="244" t="s">
        <v>124</v>
      </c>
      <c r="C38" s="244"/>
      <c r="D38" s="245" t="s">
        <v>125</v>
      </c>
      <c r="E38" s="245" t="s">
        <v>101</v>
      </c>
      <c r="F38" s="245" t="s">
        <v>126</v>
      </c>
      <c r="G38" s="245" t="s">
        <v>127</v>
      </c>
      <c r="H38" s="245"/>
      <c r="I38" s="245" t="s">
        <v>128</v>
      </c>
      <c r="J38" s="245" t="s">
        <v>129</v>
      </c>
      <c r="K38" s="245" t="s">
        <v>320</v>
      </c>
      <c r="L38" s="245"/>
      <c r="M38" s="245"/>
      <c r="N38" s="245"/>
      <c r="O38" s="245" t="s">
        <v>109</v>
      </c>
      <c r="P38" s="228">
        <f t="shared" si="1"/>
        <v>176364</v>
      </c>
      <c r="Q38" s="229">
        <f t="shared" si="2"/>
        <v>20137</v>
      </c>
      <c r="R38" s="230">
        <f t="shared" si="3"/>
        <v>36246</v>
      </c>
      <c r="S38" s="230">
        <f t="shared" si="4"/>
        <v>38059</v>
      </c>
      <c r="T38" s="230">
        <f t="shared" si="5"/>
        <v>39962</v>
      </c>
      <c r="U38" s="231">
        <f t="shared" si="6"/>
        <v>41960</v>
      </c>
      <c r="V38" s="321"/>
      <c r="W38" s="320">
        <v>20137</v>
      </c>
      <c r="X38" s="250"/>
      <c r="Y38" s="321"/>
      <c r="Z38" s="320">
        <v>36246</v>
      </c>
      <c r="AA38" s="252"/>
      <c r="AB38" s="231"/>
      <c r="AC38" s="232">
        <v>38059</v>
      </c>
      <c r="AD38" s="234"/>
      <c r="AE38" s="233"/>
      <c r="AF38" s="232">
        <v>39962</v>
      </c>
      <c r="AG38" s="234"/>
      <c r="AH38" s="233"/>
      <c r="AI38" s="232">
        <v>41960</v>
      </c>
      <c r="AJ38" s="232"/>
      <c r="AK38" s="246" t="s">
        <v>131</v>
      </c>
      <c r="AL38" s="236" t="s">
        <v>111</v>
      </c>
      <c r="AM38" s="246"/>
      <c r="AN38" s="303"/>
      <c r="AO38" s="294">
        <v>0</v>
      </c>
      <c r="AP38" s="294">
        <v>9323.42</v>
      </c>
      <c r="AQ38" s="295">
        <v>0</v>
      </c>
      <c r="AR38" s="220" t="s">
        <v>321</v>
      </c>
    </row>
    <row r="39" spans="1:48" s="35" customFormat="1" ht="90" x14ac:dyDescent="0.25">
      <c r="A39" s="244" t="s">
        <v>3</v>
      </c>
      <c r="B39" s="244" t="s">
        <v>99</v>
      </c>
      <c r="C39" s="244"/>
      <c r="D39" s="245" t="s">
        <v>135</v>
      </c>
      <c r="E39" s="245" t="s">
        <v>101</v>
      </c>
      <c r="F39" s="245" t="s">
        <v>126</v>
      </c>
      <c r="G39" s="245" t="s">
        <v>127</v>
      </c>
      <c r="H39" s="245"/>
      <c r="I39" s="245" t="s">
        <v>322</v>
      </c>
      <c r="J39" s="245" t="s">
        <v>137</v>
      </c>
      <c r="K39" s="245" t="s">
        <v>323</v>
      </c>
      <c r="L39" s="245"/>
      <c r="M39" s="245"/>
      <c r="N39" s="245"/>
      <c r="O39" s="245" t="s">
        <v>109</v>
      </c>
      <c r="P39" s="228">
        <f t="shared" si="1"/>
        <v>240000</v>
      </c>
      <c r="Q39" s="229">
        <f t="shared" si="2"/>
        <v>40000</v>
      </c>
      <c r="R39" s="230">
        <f t="shared" si="3"/>
        <v>50000</v>
      </c>
      <c r="S39" s="230">
        <f t="shared" si="4"/>
        <v>50000</v>
      </c>
      <c r="T39" s="230">
        <f t="shared" si="5"/>
        <v>50000</v>
      </c>
      <c r="U39" s="231">
        <f t="shared" si="6"/>
        <v>50000</v>
      </c>
      <c r="V39" s="321"/>
      <c r="W39" s="320"/>
      <c r="X39" s="250">
        <v>40000</v>
      </c>
      <c r="Y39" s="321"/>
      <c r="Z39" s="320"/>
      <c r="AA39" s="252">
        <v>50000</v>
      </c>
      <c r="AB39" s="231"/>
      <c r="AC39" s="232"/>
      <c r="AD39" s="234">
        <v>50000</v>
      </c>
      <c r="AE39" s="233"/>
      <c r="AF39" s="232"/>
      <c r="AG39" s="234">
        <v>50000</v>
      </c>
      <c r="AH39" s="233"/>
      <c r="AI39" s="232"/>
      <c r="AJ39" s="232">
        <v>50000</v>
      </c>
      <c r="AK39" s="235"/>
      <c r="AL39" s="236" t="s">
        <v>111</v>
      </c>
      <c r="AM39" s="246"/>
      <c r="AN39" s="303"/>
      <c r="AO39" s="294">
        <v>0</v>
      </c>
      <c r="AP39" s="221">
        <v>0</v>
      </c>
      <c r="AQ39" s="295">
        <v>0</v>
      </c>
      <c r="AR39" s="220" t="s">
        <v>324</v>
      </c>
    </row>
    <row r="40" spans="1:48" s="19" customFormat="1" ht="135" x14ac:dyDescent="0.25">
      <c r="A40" s="244" t="s">
        <v>3</v>
      </c>
      <c r="B40" s="244" t="s">
        <v>99</v>
      </c>
      <c r="C40" s="244"/>
      <c r="D40" s="245" t="s">
        <v>325</v>
      </c>
      <c r="E40" s="245" t="s">
        <v>101</v>
      </c>
      <c r="F40" s="245" t="s">
        <v>118</v>
      </c>
      <c r="G40" s="245" t="s">
        <v>103</v>
      </c>
      <c r="H40" s="245"/>
      <c r="I40" s="245" t="s">
        <v>326</v>
      </c>
      <c r="J40" s="245" t="s">
        <v>327</v>
      </c>
      <c r="K40" s="245" t="s">
        <v>328</v>
      </c>
      <c r="L40" s="245"/>
      <c r="M40" s="245"/>
      <c r="N40" s="245"/>
      <c r="O40" s="245" t="s">
        <v>283</v>
      </c>
      <c r="P40" s="228">
        <f t="shared" si="1"/>
        <v>295160</v>
      </c>
      <c r="Q40" s="229">
        <f t="shared" si="2"/>
        <v>295160</v>
      </c>
      <c r="R40" s="230">
        <f t="shared" si="3"/>
        <v>0</v>
      </c>
      <c r="S40" s="230">
        <f t="shared" si="4"/>
        <v>0</v>
      </c>
      <c r="T40" s="230">
        <f t="shared" si="5"/>
        <v>0</v>
      </c>
      <c r="U40" s="231">
        <f t="shared" si="6"/>
        <v>0</v>
      </c>
      <c r="V40" s="321">
        <v>295160</v>
      </c>
      <c r="W40" s="320"/>
      <c r="X40" s="250"/>
      <c r="Y40" s="321"/>
      <c r="Z40" s="320"/>
      <c r="AA40" s="252"/>
      <c r="AB40" s="231"/>
      <c r="AC40" s="232"/>
      <c r="AD40" s="234"/>
      <c r="AE40" s="233"/>
      <c r="AF40" s="232"/>
      <c r="AG40" s="234"/>
      <c r="AH40" s="233"/>
      <c r="AI40" s="232"/>
      <c r="AJ40" s="232"/>
      <c r="AK40" s="235"/>
      <c r="AL40" s="236" t="s">
        <v>111</v>
      </c>
      <c r="AM40" s="246"/>
      <c r="AN40" s="303"/>
      <c r="AO40" s="294">
        <v>271827</v>
      </c>
      <c r="AP40" s="221">
        <v>0</v>
      </c>
      <c r="AQ40" s="295">
        <v>0</v>
      </c>
      <c r="AR40" s="220" t="s">
        <v>329</v>
      </c>
    </row>
    <row r="41" spans="1:48" s="35" customFormat="1" ht="180" x14ac:dyDescent="0.25">
      <c r="A41" s="262" t="s">
        <v>3</v>
      </c>
      <c r="B41" s="244" t="s">
        <v>99</v>
      </c>
      <c r="C41" s="244"/>
      <c r="D41" s="245" t="s">
        <v>330</v>
      </c>
      <c r="E41" s="245" t="s">
        <v>101</v>
      </c>
      <c r="F41" s="245" t="s">
        <v>118</v>
      </c>
      <c r="G41" s="245" t="s">
        <v>103</v>
      </c>
      <c r="H41" s="245"/>
      <c r="I41" s="245" t="s">
        <v>331</v>
      </c>
      <c r="J41" s="245" t="s">
        <v>332</v>
      </c>
      <c r="K41" s="245" t="s">
        <v>333</v>
      </c>
      <c r="L41" s="245"/>
      <c r="M41" s="245"/>
      <c r="N41" s="245"/>
      <c r="O41" s="245" t="s">
        <v>141</v>
      </c>
      <c r="P41" s="228">
        <f t="shared" si="1"/>
        <v>650397</v>
      </c>
      <c r="Q41" s="229">
        <f t="shared" si="2"/>
        <v>650397</v>
      </c>
      <c r="R41" s="230">
        <f t="shared" si="3"/>
        <v>0</v>
      </c>
      <c r="S41" s="230">
        <f t="shared" si="4"/>
        <v>0</v>
      </c>
      <c r="T41" s="230">
        <f t="shared" si="5"/>
        <v>0</v>
      </c>
      <c r="U41" s="231">
        <f t="shared" si="6"/>
        <v>0</v>
      </c>
      <c r="V41" s="321">
        <v>500000</v>
      </c>
      <c r="W41" s="320">
        <v>130780</v>
      </c>
      <c r="X41" s="250">
        <v>19617</v>
      </c>
      <c r="Y41" s="321"/>
      <c r="Z41" s="320"/>
      <c r="AA41" s="252"/>
      <c r="AB41" s="231"/>
      <c r="AC41" s="232"/>
      <c r="AD41" s="234"/>
      <c r="AE41" s="233"/>
      <c r="AF41" s="232"/>
      <c r="AG41" s="234"/>
      <c r="AH41" s="233"/>
      <c r="AI41" s="232"/>
      <c r="AJ41" s="232"/>
      <c r="AK41" s="235"/>
      <c r="AL41" s="236" t="s">
        <v>142</v>
      </c>
      <c r="AM41" s="246"/>
      <c r="AN41" s="303"/>
      <c r="AO41" s="294">
        <v>288950</v>
      </c>
      <c r="AP41" s="221">
        <v>0</v>
      </c>
      <c r="AQ41" s="295">
        <v>0</v>
      </c>
      <c r="AR41" s="220" t="s">
        <v>329</v>
      </c>
    </row>
    <row r="42" spans="1:48" s="35" customFormat="1" ht="180" x14ac:dyDescent="0.25">
      <c r="A42" s="262" t="s">
        <v>3</v>
      </c>
      <c r="B42" s="244" t="s">
        <v>99</v>
      </c>
      <c r="C42" s="244"/>
      <c r="D42" s="245" t="s">
        <v>330</v>
      </c>
      <c r="E42" s="245" t="s">
        <v>251</v>
      </c>
      <c r="F42" s="245" t="s">
        <v>284</v>
      </c>
      <c r="G42" s="245" t="s">
        <v>103</v>
      </c>
      <c r="H42" s="245"/>
      <c r="I42" s="245" t="s">
        <v>331</v>
      </c>
      <c r="J42" s="245" t="s">
        <v>334</v>
      </c>
      <c r="K42" s="245" t="s">
        <v>335</v>
      </c>
      <c r="L42" s="245"/>
      <c r="M42" s="245"/>
      <c r="N42" s="245"/>
      <c r="O42" s="245" t="s">
        <v>141</v>
      </c>
      <c r="P42" s="228">
        <f t="shared" si="1"/>
        <v>20000</v>
      </c>
      <c r="Q42" s="229">
        <f t="shared" si="2"/>
        <v>20000</v>
      </c>
      <c r="R42" s="230">
        <f t="shared" si="3"/>
        <v>0</v>
      </c>
      <c r="S42" s="230">
        <f t="shared" si="4"/>
        <v>0</v>
      </c>
      <c r="T42" s="230">
        <f t="shared" si="5"/>
        <v>0</v>
      </c>
      <c r="U42" s="231">
        <f t="shared" si="6"/>
        <v>0</v>
      </c>
      <c r="V42" s="321">
        <v>20000</v>
      </c>
      <c r="W42" s="320"/>
      <c r="X42" s="250"/>
      <c r="Y42" s="321"/>
      <c r="Z42" s="320"/>
      <c r="AA42" s="252"/>
      <c r="AB42" s="231"/>
      <c r="AC42" s="232"/>
      <c r="AD42" s="234"/>
      <c r="AE42" s="233"/>
      <c r="AF42" s="232"/>
      <c r="AG42" s="234"/>
      <c r="AH42" s="233"/>
      <c r="AI42" s="232"/>
      <c r="AJ42" s="232"/>
      <c r="AK42" s="235"/>
      <c r="AL42" s="236" t="s">
        <v>111</v>
      </c>
      <c r="AM42" s="246"/>
      <c r="AN42" s="303"/>
      <c r="AO42" s="294">
        <v>0</v>
      </c>
      <c r="AP42" s="221">
        <v>0</v>
      </c>
      <c r="AQ42" s="295">
        <v>0</v>
      </c>
      <c r="AR42" s="220" t="s">
        <v>336</v>
      </c>
    </row>
    <row r="43" spans="1:48" s="35" customFormat="1" ht="105" x14ac:dyDescent="0.25">
      <c r="A43" s="262" t="s">
        <v>3</v>
      </c>
      <c r="B43" s="244" t="s">
        <v>99</v>
      </c>
      <c r="C43" s="244"/>
      <c r="D43" s="245"/>
      <c r="E43" s="245" t="s">
        <v>101</v>
      </c>
      <c r="F43" s="245" t="s">
        <v>284</v>
      </c>
      <c r="G43" s="245" t="s">
        <v>103</v>
      </c>
      <c r="H43" s="245"/>
      <c r="I43" s="245" t="s">
        <v>337</v>
      </c>
      <c r="J43" s="245" t="s">
        <v>338</v>
      </c>
      <c r="K43" s="245" t="s">
        <v>339</v>
      </c>
      <c r="L43" s="245"/>
      <c r="M43" s="245"/>
      <c r="N43" s="245"/>
      <c r="O43" s="245" t="s">
        <v>141</v>
      </c>
      <c r="P43" s="228">
        <f t="shared" si="1"/>
        <v>400000</v>
      </c>
      <c r="Q43" s="229">
        <f t="shared" si="2"/>
        <v>400000</v>
      </c>
      <c r="R43" s="230">
        <f t="shared" si="3"/>
        <v>0</v>
      </c>
      <c r="S43" s="230">
        <f t="shared" si="4"/>
        <v>0</v>
      </c>
      <c r="T43" s="230">
        <f t="shared" si="5"/>
        <v>0</v>
      </c>
      <c r="U43" s="231">
        <f t="shared" si="6"/>
        <v>0</v>
      </c>
      <c r="V43" s="321">
        <v>400000</v>
      </c>
      <c r="W43" s="320"/>
      <c r="X43" s="250"/>
      <c r="Y43" s="321"/>
      <c r="Z43" s="320"/>
      <c r="AA43" s="252"/>
      <c r="AB43" s="231"/>
      <c r="AC43" s="232"/>
      <c r="AD43" s="234"/>
      <c r="AE43" s="233"/>
      <c r="AF43" s="232"/>
      <c r="AG43" s="234"/>
      <c r="AH43" s="233"/>
      <c r="AI43" s="232"/>
      <c r="AJ43" s="232"/>
      <c r="AK43" s="235"/>
      <c r="AL43" s="236" t="s">
        <v>111</v>
      </c>
      <c r="AM43" s="246"/>
      <c r="AN43" s="303"/>
      <c r="AO43" s="294">
        <v>225825</v>
      </c>
      <c r="AP43" s="221">
        <v>0</v>
      </c>
      <c r="AQ43" s="295">
        <v>0</v>
      </c>
      <c r="AR43" s="220" t="s">
        <v>340</v>
      </c>
    </row>
    <row r="44" spans="1:48" s="35" customFormat="1" ht="105" x14ac:dyDescent="0.25">
      <c r="A44" s="262" t="s">
        <v>3</v>
      </c>
      <c r="B44" s="244" t="s">
        <v>99</v>
      </c>
      <c r="C44" s="244"/>
      <c r="D44" s="245" t="s">
        <v>341</v>
      </c>
      <c r="E44" s="245" t="s">
        <v>101</v>
      </c>
      <c r="F44" s="245" t="s">
        <v>118</v>
      </c>
      <c r="G44" s="245" t="s">
        <v>103</v>
      </c>
      <c r="H44" s="245"/>
      <c r="I44" s="245"/>
      <c r="J44" s="245" t="s">
        <v>342</v>
      </c>
      <c r="K44" s="245" t="s">
        <v>343</v>
      </c>
      <c r="L44" s="245"/>
      <c r="M44" s="245"/>
      <c r="N44" s="245"/>
      <c r="O44" s="245" t="s">
        <v>141</v>
      </c>
      <c r="P44" s="228">
        <f t="shared" si="1"/>
        <v>30000</v>
      </c>
      <c r="Q44" s="229">
        <f t="shared" si="2"/>
        <v>30000</v>
      </c>
      <c r="R44" s="230">
        <f t="shared" si="3"/>
        <v>0</v>
      </c>
      <c r="S44" s="230">
        <f t="shared" si="4"/>
        <v>0</v>
      </c>
      <c r="T44" s="230">
        <f t="shared" si="5"/>
        <v>0</v>
      </c>
      <c r="U44" s="231">
        <f t="shared" si="6"/>
        <v>0</v>
      </c>
      <c r="V44" s="321">
        <v>30000</v>
      </c>
      <c r="W44" s="320"/>
      <c r="X44" s="250"/>
      <c r="Y44" s="321"/>
      <c r="Z44" s="320"/>
      <c r="AA44" s="252"/>
      <c r="AB44" s="231"/>
      <c r="AC44" s="232"/>
      <c r="AD44" s="234"/>
      <c r="AE44" s="233"/>
      <c r="AF44" s="232"/>
      <c r="AG44" s="234"/>
      <c r="AH44" s="233"/>
      <c r="AI44" s="232"/>
      <c r="AJ44" s="232"/>
      <c r="AK44" s="235"/>
      <c r="AL44" s="236" t="s">
        <v>111</v>
      </c>
      <c r="AM44" s="246"/>
      <c r="AN44" s="303"/>
      <c r="AO44" s="294">
        <v>0</v>
      </c>
      <c r="AP44" s="221">
        <v>0</v>
      </c>
      <c r="AQ44" s="295">
        <v>2700</v>
      </c>
      <c r="AR44" s="220" t="s">
        <v>344</v>
      </c>
    </row>
    <row r="45" spans="1:48" s="35" customFormat="1" ht="105" x14ac:dyDescent="0.25">
      <c r="A45" s="262" t="s">
        <v>3</v>
      </c>
      <c r="B45" s="244" t="s">
        <v>99</v>
      </c>
      <c r="C45" s="244"/>
      <c r="D45" s="245" t="s">
        <v>345</v>
      </c>
      <c r="E45" s="245" t="s">
        <v>101</v>
      </c>
      <c r="F45" s="245" t="s">
        <v>118</v>
      </c>
      <c r="G45" s="245" t="s">
        <v>103</v>
      </c>
      <c r="H45" s="245"/>
      <c r="I45" s="245"/>
      <c r="J45" s="245" t="s">
        <v>346</v>
      </c>
      <c r="K45" s="245" t="s">
        <v>343</v>
      </c>
      <c r="L45" s="245"/>
      <c r="M45" s="245"/>
      <c r="N45" s="245"/>
      <c r="O45" s="245" t="s">
        <v>141</v>
      </c>
      <c r="P45" s="228">
        <f t="shared" si="1"/>
        <v>37500</v>
      </c>
      <c r="Q45" s="229">
        <f t="shared" si="2"/>
        <v>37500</v>
      </c>
      <c r="R45" s="230">
        <f t="shared" si="3"/>
        <v>0</v>
      </c>
      <c r="S45" s="230">
        <f t="shared" si="4"/>
        <v>0</v>
      </c>
      <c r="T45" s="230">
        <f t="shared" si="5"/>
        <v>0</v>
      </c>
      <c r="U45" s="231">
        <f t="shared" si="6"/>
        <v>0</v>
      </c>
      <c r="V45" s="321">
        <v>37500</v>
      </c>
      <c r="W45" s="320"/>
      <c r="X45" s="250"/>
      <c r="Y45" s="321"/>
      <c r="Z45" s="320"/>
      <c r="AA45" s="252"/>
      <c r="AB45" s="231"/>
      <c r="AC45" s="232"/>
      <c r="AD45" s="234"/>
      <c r="AE45" s="233"/>
      <c r="AF45" s="232"/>
      <c r="AG45" s="234"/>
      <c r="AH45" s="233"/>
      <c r="AI45" s="232"/>
      <c r="AJ45" s="232"/>
      <c r="AK45" s="235"/>
      <c r="AL45" s="236" t="s">
        <v>111</v>
      </c>
      <c r="AM45" s="246"/>
      <c r="AN45" s="303"/>
      <c r="AO45" s="294">
        <v>37500</v>
      </c>
      <c r="AP45" s="221">
        <v>0</v>
      </c>
      <c r="AQ45" s="295">
        <v>0</v>
      </c>
      <c r="AR45" s="220" t="s">
        <v>347</v>
      </c>
    </row>
    <row r="46" spans="1:48" s="19" customFormat="1" ht="105" x14ac:dyDescent="0.25">
      <c r="A46" s="262" t="s">
        <v>348</v>
      </c>
      <c r="B46" s="244" t="s">
        <v>99</v>
      </c>
      <c r="C46" s="244"/>
      <c r="D46" s="245" t="s">
        <v>349</v>
      </c>
      <c r="E46" s="245" t="s">
        <v>101</v>
      </c>
      <c r="F46" s="245" t="s">
        <v>118</v>
      </c>
      <c r="G46" s="245" t="s">
        <v>103</v>
      </c>
      <c r="H46" s="245"/>
      <c r="I46" s="245"/>
      <c r="J46" s="245" t="s">
        <v>350</v>
      </c>
      <c r="K46" s="245" t="s">
        <v>343</v>
      </c>
      <c r="L46" s="245"/>
      <c r="M46" s="245"/>
      <c r="N46" s="245"/>
      <c r="O46" s="245" t="s">
        <v>141</v>
      </c>
      <c r="P46" s="228">
        <f t="shared" si="1"/>
        <v>30000</v>
      </c>
      <c r="Q46" s="229">
        <f t="shared" si="2"/>
        <v>30000</v>
      </c>
      <c r="R46" s="230">
        <f t="shared" si="3"/>
        <v>0</v>
      </c>
      <c r="S46" s="230">
        <f t="shared" si="4"/>
        <v>0</v>
      </c>
      <c r="T46" s="230">
        <f t="shared" si="5"/>
        <v>0</v>
      </c>
      <c r="U46" s="231">
        <f t="shared" si="6"/>
        <v>0</v>
      </c>
      <c r="V46" s="321">
        <v>30000</v>
      </c>
      <c r="W46" s="320"/>
      <c r="X46" s="250"/>
      <c r="Y46" s="321"/>
      <c r="Z46" s="320"/>
      <c r="AA46" s="252"/>
      <c r="AB46" s="231"/>
      <c r="AC46" s="232"/>
      <c r="AD46" s="234"/>
      <c r="AE46" s="233"/>
      <c r="AF46" s="232"/>
      <c r="AG46" s="234"/>
      <c r="AH46" s="233"/>
      <c r="AI46" s="232"/>
      <c r="AJ46" s="232"/>
      <c r="AK46" s="235"/>
      <c r="AL46" s="236" t="s">
        <v>111</v>
      </c>
      <c r="AM46" s="246"/>
      <c r="AN46" s="303"/>
      <c r="AO46" s="294">
        <v>29888</v>
      </c>
      <c r="AP46" s="221">
        <v>0</v>
      </c>
      <c r="AQ46" s="295">
        <v>0</v>
      </c>
      <c r="AR46" s="220" t="s">
        <v>351</v>
      </c>
    </row>
    <row r="47" spans="1:48" s="19" customFormat="1" ht="105" x14ac:dyDescent="0.25">
      <c r="A47" s="262" t="s">
        <v>348</v>
      </c>
      <c r="B47" s="244" t="s">
        <v>99</v>
      </c>
      <c r="C47" s="244"/>
      <c r="D47" s="245" t="s">
        <v>352</v>
      </c>
      <c r="E47" s="245" t="s">
        <v>101</v>
      </c>
      <c r="F47" s="245" t="s">
        <v>118</v>
      </c>
      <c r="G47" s="245" t="s">
        <v>103</v>
      </c>
      <c r="H47" s="245"/>
      <c r="I47" s="245"/>
      <c r="J47" s="245" t="s">
        <v>353</v>
      </c>
      <c r="K47" s="245" t="s">
        <v>354</v>
      </c>
      <c r="L47" s="245"/>
      <c r="M47" s="245"/>
      <c r="N47" s="245"/>
      <c r="O47" s="245" t="s">
        <v>141</v>
      </c>
      <c r="P47" s="228">
        <f t="shared" si="1"/>
        <v>600000</v>
      </c>
      <c r="Q47" s="229">
        <f t="shared" si="2"/>
        <v>100000</v>
      </c>
      <c r="R47" s="230">
        <f t="shared" si="3"/>
        <v>300000</v>
      </c>
      <c r="S47" s="230">
        <f t="shared" si="4"/>
        <v>200000</v>
      </c>
      <c r="T47" s="230">
        <f t="shared" si="5"/>
        <v>0</v>
      </c>
      <c r="U47" s="231">
        <f t="shared" si="6"/>
        <v>0</v>
      </c>
      <c r="V47" s="321">
        <v>100000</v>
      </c>
      <c r="W47" s="320"/>
      <c r="X47" s="250"/>
      <c r="Y47" s="321">
        <v>300000</v>
      </c>
      <c r="Z47" s="320"/>
      <c r="AA47" s="252"/>
      <c r="AB47" s="231">
        <v>200000</v>
      </c>
      <c r="AC47" s="232"/>
      <c r="AD47" s="234"/>
      <c r="AE47" s="233"/>
      <c r="AF47" s="232"/>
      <c r="AG47" s="234"/>
      <c r="AH47" s="233"/>
      <c r="AI47" s="232"/>
      <c r="AJ47" s="232"/>
      <c r="AK47" s="235"/>
      <c r="AL47" s="236" t="s">
        <v>142</v>
      </c>
      <c r="AM47" s="246"/>
      <c r="AN47" s="303"/>
      <c r="AO47" s="294">
        <v>36351</v>
      </c>
      <c r="AP47" s="221">
        <v>0</v>
      </c>
      <c r="AQ47" s="295">
        <v>0</v>
      </c>
      <c r="AR47" s="220" t="s">
        <v>355</v>
      </c>
    </row>
    <row r="48" spans="1:48" s="35" customFormat="1" ht="105" x14ac:dyDescent="0.25">
      <c r="A48" s="262" t="s">
        <v>348</v>
      </c>
      <c r="B48" s="244" t="s">
        <v>99</v>
      </c>
      <c r="C48" s="244"/>
      <c r="D48" s="245" t="s">
        <v>352</v>
      </c>
      <c r="E48" s="245" t="s">
        <v>101</v>
      </c>
      <c r="F48" s="245" t="s">
        <v>118</v>
      </c>
      <c r="G48" s="245" t="s">
        <v>103</v>
      </c>
      <c r="H48" s="245"/>
      <c r="I48" s="245"/>
      <c r="J48" s="245" t="s">
        <v>356</v>
      </c>
      <c r="K48" s="245" t="s">
        <v>354</v>
      </c>
      <c r="L48" s="245"/>
      <c r="M48" s="245"/>
      <c r="N48" s="245"/>
      <c r="O48" s="245" t="s">
        <v>141</v>
      </c>
      <c r="P48" s="228">
        <f t="shared" si="1"/>
        <v>600000</v>
      </c>
      <c r="Q48" s="229">
        <f t="shared" si="2"/>
        <v>100000</v>
      </c>
      <c r="R48" s="230">
        <f t="shared" si="3"/>
        <v>300000</v>
      </c>
      <c r="S48" s="230">
        <f t="shared" si="4"/>
        <v>200000</v>
      </c>
      <c r="T48" s="230">
        <f t="shared" si="5"/>
        <v>0</v>
      </c>
      <c r="U48" s="231">
        <f t="shared" si="6"/>
        <v>0</v>
      </c>
      <c r="V48" s="321">
        <v>100000</v>
      </c>
      <c r="W48" s="320"/>
      <c r="X48" s="250"/>
      <c r="Y48" s="321">
        <v>300000</v>
      </c>
      <c r="Z48" s="320"/>
      <c r="AA48" s="252"/>
      <c r="AB48" s="231">
        <v>200000</v>
      </c>
      <c r="AC48" s="232"/>
      <c r="AD48" s="234"/>
      <c r="AE48" s="233"/>
      <c r="AF48" s="232"/>
      <c r="AG48" s="234"/>
      <c r="AH48" s="233"/>
      <c r="AI48" s="232"/>
      <c r="AJ48" s="232"/>
      <c r="AK48" s="235"/>
      <c r="AL48" s="236" t="s">
        <v>111</v>
      </c>
      <c r="AM48" s="246"/>
      <c r="AN48" s="303"/>
      <c r="AO48" s="294">
        <v>0</v>
      </c>
      <c r="AP48" s="221">
        <v>0</v>
      </c>
      <c r="AQ48" s="295">
        <v>0</v>
      </c>
      <c r="AR48" s="220" t="s">
        <v>357</v>
      </c>
    </row>
    <row r="49" spans="1:44" s="19" customFormat="1" ht="105" x14ac:dyDescent="0.25">
      <c r="A49" s="262" t="s">
        <v>348</v>
      </c>
      <c r="B49" s="244" t="s">
        <v>99</v>
      </c>
      <c r="C49" s="244"/>
      <c r="D49" s="245"/>
      <c r="E49" s="245" t="s">
        <v>101</v>
      </c>
      <c r="F49" s="245" t="s">
        <v>118</v>
      </c>
      <c r="G49" s="245" t="s">
        <v>103</v>
      </c>
      <c r="H49" s="245"/>
      <c r="I49" s="245"/>
      <c r="J49" s="245" t="s">
        <v>358</v>
      </c>
      <c r="K49" s="245" t="s">
        <v>359</v>
      </c>
      <c r="L49" s="245"/>
      <c r="M49" s="245"/>
      <c r="N49" s="245"/>
      <c r="O49" s="245" t="s">
        <v>141</v>
      </c>
      <c r="P49" s="228">
        <f t="shared" si="1"/>
        <v>100000</v>
      </c>
      <c r="Q49" s="229">
        <f t="shared" si="2"/>
        <v>0</v>
      </c>
      <c r="R49" s="230">
        <f t="shared" si="3"/>
        <v>100000</v>
      </c>
      <c r="S49" s="230">
        <f t="shared" si="4"/>
        <v>0</v>
      </c>
      <c r="T49" s="230">
        <f t="shared" si="5"/>
        <v>0</v>
      </c>
      <c r="U49" s="231">
        <f t="shared" si="6"/>
        <v>0</v>
      </c>
      <c r="V49" s="321"/>
      <c r="W49" s="320"/>
      <c r="X49" s="250"/>
      <c r="Y49" s="321">
        <v>100000</v>
      </c>
      <c r="Z49" s="320"/>
      <c r="AA49" s="252"/>
      <c r="AB49" s="231"/>
      <c r="AC49" s="232"/>
      <c r="AD49" s="234"/>
      <c r="AE49" s="233"/>
      <c r="AF49" s="232"/>
      <c r="AG49" s="234"/>
      <c r="AH49" s="233"/>
      <c r="AI49" s="232"/>
      <c r="AJ49" s="232"/>
      <c r="AK49" s="235"/>
      <c r="AL49" s="236" t="s">
        <v>142</v>
      </c>
      <c r="AM49" s="246"/>
      <c r="AN49" s="303"/>
      <c r="AO49" s="294">
        <v>0</v>
      </c>
      <c r="AP49" s="221">
        <v>0</v>
      </c>
      <c r="AQ49" s="295">
        <v>0</v>
      </c>
      <c r="AR49" s="220" t="s">
        <v>360</v>
      </c>
    </row>
    <row r="50" spans="1:44" s="35" customFormat="1" ht="105" x14ac:dyDescent="0.25">
      <c r="A50" s="262" t="s">
        <v>348</v>
      </c>
      <c r="B50" s="244" t="s">
        <v>99</v>
      </c>
      <c r="C50" s="244"/>
      <c r="D50" s="245" t="s">
        <v>352</v>
      </c>
      <c r="E50" s="245" t="s">
        <v>101</v>
      </c>
      <c r="F50" s="245" t="s">
        <v>118</v>
      </c>
      <c r="G50" s="245" t="s">
        <v>103</v>
      </c>
      <c r="H50" s="245"/>
      <c r="I50" s="245"/>
      <c r="J50" s="245" t="s">
        <v>361</v>
      </c>
      <c r="K50" s="245"/>
      <c r="L50" s="245"/>
      <c r="M50" s="245"/>
      <c r="N50" s="245"/>
      <c r="O50" s="245" t="s">
        <v>141</v>
      </c>
      <c r="P50" s="228">
        <f t="shared" si="1"/>
        <v>200000</v>
      </c>
      <c r="Q50" s="229">
        <f t="shared" si="2"/>
        <v>200000</v>
      </c>
      <c r="R50" s="230">
        <f t="shared" si="3"/>
        <v>0</v>
      </c>
      <c r="S50" s="230">
        <f t="shared" si="4"/>
        <v>0</v>
      </c>
      <c r="T50" s="230">
        <f t="shared" si="5"/>
        <v>0</v>
      </c>
      <c r="U50" s="231">
        <f t="shared" si="6"/>
        <v>0</v>
      </c>
      <c r="V50" s="321">
        <v>200000</v>
      </c>
      <c r="W50" s="320"/>
      <c r="X50" s="250"/>
      <c r="Y50" s="321"/>
      <c r="Z50" s="320"/>
      <c r="AA50" s="252"/>
      <c r="AB50" s="231"/>
      <c r="AC50" s="232"/>
      <c r="AD50" s="234"/>
      <c r="AE50" s="233"/>
      <c r="AF50" s="232"/>
      <c r="AG50" s="234"/>
      <c r="AH50" s="233"/>
      <c r="AI50" s="232"/>
      <c r="AJ50" s="232"/>
      <c r="AK50" s="235"/>
      <c r="AL50" s="236" t="s">
        <v>142</v>
      </c>
      <c r="AM50" s="246"/>
      <c r="AN50" s="303"/>
      <c r="AO50" s="294">
        <v>67000</v>
      </c>
      <c r="AP50" s="221">
        <v>0</v>
      </c>
      <c r="AQ50" s="295">
        <v>0</v>
      </c>
      <c r="AR50" s="220" t="s">
        <v>362</v>
      </c>
    </row>
    <row r="51" spans="1:44" s="35" customFormat="1" ht="105" x14ac:dyDescent="0.25">
      <c r="A51" s="262" t="s">
        <v>348</v>
      </c>
      <c r="B51" s="244" t="s">
        <v>99</v>
      </c>
      <c r="C51" s="244"/>
      <c r="D51" s="245" t="s">
        <v>117</v>
      </c>
      <c r="E51" s="245" t="s">
        <v>101</v>
      </c>
      <c r="F51" s="245" t="s">
        <v>284</v>
      </c>
      <c r="G51" s="245" t="s">
        <v>103</v>
      </c>
      <c r="H51" s="245"/>
      <c r="I51" s="245" t="s">
        <v>363</v>
      </c>
      <c r="J51" s="245" t="s">
        <v>364</v>
      </c>
      <c r="K51" s="245" t="s">
        <v>365</v>
      </c>
      <c r="L51" s="245"/>
      <c r="M51" s="245"/>
      <c r="N51" s="245"/>
      <c r="O51" s="245" t="s">
        <v>145</v>
      </c>
      <c r="P51" s="228">
        <f t="shared" si="1"/>
        <v>300000</v>
      </c>
      <c r="Q51" s="229">
        <f t="shared" si="2"/>
        <v>300000</v>
      </c>
      <c r="R51" s="230">
        <f t="shared" si="3"/>
        <v>0</v>
      </c>
      <c r="S51" s="230">
        <f t="shared" si="4"/>
        <v>0</v>
      </c>
      <c r="T51" s="230">
        <f t="shared" si="5"/>
        <v>0</v>
      </c>
      <c r="U51" s="231">
        <f t="shared" si="6"/>
        <v>0</v>
      </c>
      <c r="V51" s="321">
        <v>300000</v>
      </c>
      <c r="W51" s="320"/>
      <c r="X51" s="250"/>
      <c r="Y51" s="321"/>
      <c r="Z51" s="320"/>
      <c r="AA51" s="252"/>
      <c r="AB51" s="231"/>
      <c r="AC51" s="232"/>
      <c r="AD51" s="234"/>
      <c r="AE51" s="233"/>
      <c r="AF51" s="232"/>
      <c r="AG51" s="234"/>
      <c r="AH51" s="233"/>
      <c r="AI51" s="232"/>
      <c r="AJ51" s="232"/>
      <c r="AK51" s="235"/>
      <c r="AL51" s="236" t="s">
        <v>111</v>
      </c>
      <c r="AM51" s="246"/>
      <c r="AN51" s="303"/>
      <c r="AO51" s="294">
        <v>216026</v>
      </c>
      <c r="AP51" s="221">
        <v>0</v>
      </c>
      <c r="AQ51" s="295">
        <v>0</v>
      </c>
      <c r="AR51" s="220" t="s">
        <v>366</v>
      </c>
    </row>
    <row r="52" spans="1:44" s="35" customFormat="1" ht="225" x14ac:dyDescent="0.25">
      <c r="A52" s="262" t="s">
        <v>3</v>
      </c>
      <c r="B52" s="244" t="s">
        <v>99</v>
      </c>
      <c r="C52" s="244"/>
      <c r="D52" s="245" t="s">
        <v>367</v>
      </c>
      <c r="E52" s="245" t="s">
        <v>101</v>
      </c>
      <c r="F52" s="245" t="s">
        <v>118</v>
      </c>
      <c r="G52" s="245" t="s">
        <v>103</v>
      </c>
      <c r="H52" s="245"/>
      <c r="I52" s="245" t="s">
        <v>368</v>
      </c>
      <c r="J52" s="245" t="s">
        <v>369</v>
      </c>
      <c r="K52" s="245" t="s">
        <v>343</v>
      </c>
      <c r="L52" s="245"/>
      <c r="M52" s="245"/>
      <c r="N52" s="245"/>
      <c r="O52" s="245" t="s">
        <v>283</v>
      </c>
      <c r="P52" s="228">
        <f t="shared" si="1"/>
        <v>152264</v>
      </c>
      <c r="Q52" s="229">
        <f t="shared" si="2"/>
        <v>152264</v>
      </c>
      <c r="R52" s="230">
        <f t="shared" si="3"/>
        <v>0</v>
      </c>
      <c r="S52" s="230">
        <f t="shared" si="4"/>
        <v>0</v>
      </c>
      <c r="T52" s="230">
        <f t="shared" si="5"/>
        <v>0</v>
      </c>
      <c r="U52" s="231">
        <f t="shared" si="6"/>
        <v>0</v>
      </c>
      <c r="V52" s="321">
        <v>149190</v>
      </c>
      <c r="W52" s="320">
        <v>3074</v>
      </c>
      <c r="X52" s="250"/>
      <c r="Y52" s="321"/>
      <c r="Z52" s="320"/>
      <c r="AA52" s="252"/>
      <c r="AB52" s="231"/>
      <c r="AC52" s="232"/>
      <c r="AD52" s="234"/>
      <c r="AE52" s="233"/>
      <c r="AF52" s="232"/>
      <c r="AG52" s="234"/>
      <c r="AH52" s="233"/>
      <c r="AI52" s="232"/>
      <c r="AJ52" s="232"/>
      <c r="AK52" s="235"/>
      <c r="AL52" s="236" t="s">
        <v>111</v>
      </c>
      <c r="AM52" s="246"/>
      <c r="AN52" s="303"/>
      <c r="AO52" s="294">
        <v>149168</v>
      </c>
      <c r="AP52" s="221">
        <v>3065</v>
      </c>
      <c r="AQ52" s="295">
        <v>0</v>
      </c>
      <c r="AR52" s="220" t="s">
        <v>370</v>
      </c>
    </row>
    <row r="53" spans="1:44" s="19" customFormat="1" ht="135" x14ac:dyDescent="0.25">
      <c r="A53" s="262" t="s">
        <v>3</v>
      </c>
      <c r="B53" s="244" t="s">
        <v>99</v>
      </c>
      <c r="C53" s="244"/>
      <c r="D53" s="245" t="s">
        <v>367</v>
      </c>
      <c r="E53" s="245" t="s">
        <v>101</v>
      </c>
      <c r="F53" s="245" t="s">
        <v>118</v>
      </c>
      <c r="G53" s="245" t="s">
        <v>9</v>
      </c>
      <c r="H53" s="245"/>
      <c r="I53" s="245" t="s">
        <v>371</v>
      </c>
      <c r="J53" s="245" t="s">
        <v>372</v>
      </c>
      <c r="K53" s="245" t="s">
        <v>343</v>
      </c>
      <c r="L53" s="245"/>
      <c r="M53" s="245"/>
      <c r="N53" s="245"/>
      <c r="O53" s="245" t="s">
        <v>283</v>
      </c>
      <c r="P53" s="228">
        <f t="shared" si="1"/>
        <v>396364</v>
      </c>
      <c r="Q53" s="229">
        <f t="shared" si="2"/>
        <v>396364</v>
      </c>
      <c r="R53" s="230">
        <f t="shared" si="3"/>
        <v>0</v>
      </c>
      <c r="S53" s="230">
        <f t="shared" si="4"/>
        <v>0</v>
      </c>
      <c r="T53" s="230">
        <f t="shared" si="5"/>
        <v>0</v>
      </c>
      <c r="U53" s="231">
        <f t="shared" si="6"/>
        <v>0</v>
      </c>
      <c r="V53" s="321">
        <v>392350</v>
      </c>
      <c r="W53" s="320">
        <v>4014</v>
      </c>
      <c r="X53" s="250"/>
      <c r="Y53" s="321"/>
      <c r="Z53" s="320"/>
      <c r="AA53" s="252"/>
      <c r="AB53" s="231"/>
      <c r="AC53" s="232"/>
      <c r="AD53" s="234"/>
      <c r="AE53" s="233"/>
      <c r="AF53" s="232"/>
      <c r="AG53" s="234"/>
      <c r="AH53" s="233"/>
      <c r="AI53" s="232"/>
      <c r="AJ53" s="232"/>
      <c r="AK53" s="235"/>
      <c r="AL53" s="236" t="s">
        <v>111</v>
      </c>
      <c r="AM53" s="246"/>
      <c r="AN53" s="303"/>
      <c r="AO53" s="294">
        <v>392216</v>
      </c>
      <c r="AP53" s="221">
        <v>3991</v>
      </c>
      <c r="AQ53" s="295">
        <v>0</v>
      </c>
      <c r="AR53" s="220" t="s">
        <v>370</v>
      </c>
    </row>
    <row r="54" spans="1:44" s="35" customFormat="1" ht="105" x14ac:dyDescent="0.25">
      <c r="A54" s="262" t="s">
        <v>3</v>
      </c>
      <c r="B54" s="244" t="s">
        <v>99</v>
      </c>
      <c r="C54" s="244"/>
      <c r="D54" s="245" t="s">
        <v>325</v>
      </c>
      <c r="E54" s="245" t="s">
        <v>101</v>
      </c>
      <c r="F54" s="245" t="s">
        <v>118</v>
      </c>
      <c r="G54" s="245" t="s">
        <v>103</v>
      </c>
      <c r="H54" s="245"/>
      <c r="I54" s="245" t="s">
        <v>373</v>
      </c>
      <c r="J54" s="245" t="s">
        <v>374</v>
      </c>
      <c r="K54" s="245" t="s">
        <v>343</v>
      </c>
      <c r="L54" s="245"/>
      <c r="M54" s="245"/>
      <c r="N54" s="245"/>
      <c r="O54" s="245" t="s">
        <v>283</v>
      </c>
      <c r="P54" s="228">
        <f t="shared" si="1"/>
        <v>414759</v>
      </c>
      <c r="Q54" s="229">
        <f t="shared" si="2"/>
        <v>414759</v>
      </c>
      <c r="R54" s="230">
        <f t="shared" si="3"/>
        <v>0</v>
      </c>
      <c r="S54" s="230">
        <f t="shared" si="4"/>
        <v>0</v>
      </c>
      <c r="T54" s="230">
        <f t="shared" si="5"/>
        <v>0</v>
      </c>
      <c r="U54" s="231">
        <f t="shared" si="6"/>
        <v>0</v>
      </c>
      <c r="V54" s="321">
        <v>403159</v>
      </c>
      <c r="W54" s="320">
        <v>11600</v>
      </c>
      <c r="X54" s="250"/>
      <c r="Y54" s="321"/>
      <c r="Z54" s="320"/>
      <c r="AA54" s="252"/>
      <c r="AB54" s="231"/>
      <c r="AC54" s="232"/>
      <c r="AD54" s="234"/>
      <c r="AE54" s="233"/>
      <c r="AF54" s="232"/>
      <c r="AG54" s="234"/>
      <c r="AH54" s="233"/>
      <c r="AI54" s="232"/>
      <c r="AJ54" s="232"/>
      <c r="AK54" s="235"/>
      <c r="AL54" s="236" t="s">
        <v>111</v>
      </c>
      <c r="AM54" s="246"/>
      <c r="AN54" s="303"/>
      <c r="AO54" s="294">
        <v>403159</v>
      </c>
      <c r="AP54" s="221">
        <v>9737</v>
      </c>
      <c r="AQ54" s="295">
        <v>0</v>
      </c>
      <c r="AR54" s="220" t="s">
        <v>370</v>
      </c>
    </row>
    <row r="55" spans="1:44" s="35" customFormat="1" ht="105" x14ac:dyDescent="0.25">
      <c r="A55" s="262" t="s">
        <v>3</v>
      </c>
      <c r="B55" s="244" t="s">
        <v>99</v>
      </c>
      <c r="C55" s="244"/>
      <c r="D55" s="245" t="s">
        <v>375</v>
      </c>
      <c r="E55" s="245" t="s">
        <v>101</v>
      </c>
      <c r="F55" s="245" t="s">
        <v>118</v>
      </c>
      <c r="G55" s="245" t="s">
        <v>103</v>
      </c>
      <c r="H55" s="245"/>
      <c r="I55" s="245" t="s">
        <v>376</v>
      </c>
      <c r="J55" s="245" t="s">
        <v>377</v>
      </c>
      <c r="K55" s="245" t="s">
        <v>378</v>
      </c>
      <c r="L55" s="245"/>
      <c r="M55" s="245"/>
      <c r="N55" s="245"/>
      <c r="O55" s="245" t="s">
        <v>141</v>
      </c>
      <c r="P55" s="228">
        <f t="shared" si="1"/>
        <v>700000</v>
      </c>
      <c r="Q55" s="229">
        <f t="shared" si="2"/>
        <v>0</v>
      </c>
      <c r="R55" s="230">
        <f t="shared" si="3"/>
        <v>400000</v>
      </c>
      <c r="S55" s="230">
        <f t="shared" si="4"/>
        <v>300000</v>
      </c>
      <c r="T55" s="230">
        <f t="shared" si="5"/>
        <v>0</v>
      </c>
      <c r="U55" s="231">
        <f t="shared" si="6"/>
        <v>0</v>
      </c>
      <c r="V55" s="321"/>
      <c r="W55" s="320"/>
      <c r="X55" s="250"/>
      <c r="Y55" s="321">
        <v>400000</v>
      </c>
      <c r="Z55" s="320"/>
      <c r="AA55" s="252"/>
      <c r="AB55" s="231">
        <v>300000</v>
      </c>
      <c r="AC55" s="232"/>
      <c r="AD55" s="234"/>
      <c r="AE55" s="233"/>
      <c r="AF55" s="232"/>
      <c r="AG55" s="234"/>
      <c r="AH55" s="233"/>
      <c r="AI55" s="232"/>
      <c r="AJ55" s="232"/>
      <c r="AK55" s="235"/>
      <c r="AL55" s="236" t="s">
        <v>142</v>
      </c>
      <c r="AM55" s="246"/>
      <c r="AN55" s="303"/>
      <c r="AO55" s="294">
        <v>0</v>
      </c>
      <c r="AP55" s="221">
        <v>0</v>
      </c>
      <c r="AQ55" s="295">
        <v>0</v>
      </c>
      <c r="AR55" s="220" t="s">
        <v>379</v>
      </c>
    </row>
    <row r="56" spans="1:44" s="19" customFormat="1" ht="105" x14ac:dyDescent="0.25">
      <c r="A56" s="262" t="s">
        <v>3</v>
      </c>
      <c r="B56" s="244" t="s">
        <v>99</v>
      </c>
      <c r="C56" s="244"/>
      <c r="D56" s="245" t="s">
        <v>380</v>
      </c>
      <c r="E56" s="245" t="s">
        <v>101</v>
      </c>
      <c r="F56" s="245" t="s">
        <v>118</v>
      </c>
      <c r="G56" s="245" t="s">
        <v>103</v>
      </c>
      <c r="H56" s="245"/>
      <c r="I56" s="245" t="s">
        <v>381</v>
      </c>
      <c r="J56" s="245" t="s">
        <v>382</v>
      </c>
      <c r="K56" s="245" t="s">
        <v>343</v>
      </c>
      <c r="L56" s="245"/>
      <c r="M56" s="245"/>
      <c r="N56" s="245"/>
      <c r="O56" s="245" t="s">
        <v>145</v>
      </c>
      <c r="P56" s="228">
        <f t="shared" si="1"/>
        <v>700000</v>
      </c>
      <c r="Q56" s="229">
        <f t="shared" si="2"/>
        <v>700000</v>
      </c>
      <c r="R56" s="230">
        <f t="shared" si="3"/>
        <v>0</v>
      </c>
      <c r="S56" s="230">
        <f t="shared" si="4"/>
        <v>0</v>
      </c>
      <c r="T56" s="230">
        <f t="shared" si="5"/>
        <v>0</v>
      </c>
      <c r="U56" s="231">
        <f t="shared" si="6"/>
        <v>0</v>
      </c>
      <c r="V56" s="321">
        <v>700000</v>
      </c>
      <c r="W56" s="320"/>
      <c r="X56" s="250"/>
      <c r="Y56" s="321"/>
      <c r="Z56" s="320"/>
      <c r="AA56" s="252"/>
      <c r="AB56" s="231"/>
      <c r="AC56" s="232"/>
      <c r="AD56" s="234"/>
      <c r="AE56" s="233"/>
      <c r="AF56" s="232"/>
      <c r="AG56" s="234"/>
      <c r="AH56" s="233"/>
      <c r="AI56" s="232"/>
      <c r="AJ56" s="232"/>
      <c r="AK56" s="235"/>
      <c r="AL56" s="236" t="s">
        <v>142</v>
      </c>
      <c r="AM56" s="246"/>
      <c r="AN56" s="303"/>
      <c r="AO56" s="294">
        <v>469700</v>
      </c>
      <c r="AP56" s="221"/>
      <c r="AQ56" s="295">
        <v>65817</v>
      </c>
      <c r="AR56" s="220" t="s">
        <v>383</v>
      </c>
    </row>
    <row r="57" spans="1:44" s="35" customFormat="1" ht="105" x14ac:dyDescent="0.25">
      <c r="A57" s="262" t="s">
        <v>3</v>
      </c>
      <c r="B57" s="244" t="s">
        <v>99</v>
      </c>
      <c r="C57" s="244"/>
      <c r="D57" s="245" t="s">
        <v>384</v>
      </c>
      <c r="E57" s="245" t="s">
        <v>101</v>
      </c>
      <c r="F57" s="245" t="s">
        <v>102</v>
      </c>
      <c r="G57" s="245" t="s">
        <v>103</v>
      </c>
      <c r="H57" s="245"/>
      <c r="I57" s="245" t="s">
        <v>385</v>
      </c>
      <c r="J57" s="245" t="s">
        <v>386</v>
      </c>
      <c r="K57" s="245" t="s">
        <v>343</v>
      </c>
      <c r="L57" s="245"/>
      <c r="M57" s="245"/>
      <c r="N57" s="245"/>
      <c r="O57" s="245" t="s">
        <v>145</v>
      </c>
      <c r="P57" s="228">
        <f t="shared" si="1"/>
        <v>43976</v>
      </c>
      <c r="Q57" s="229">
        <f t="shared" si="2"/>
        <v>43976</v>
      </c>
      <c r="R57" s="230">
        <f t="shared" si="3"/>
        <v>0</v>
      </c>
      <c r="S57" s="230">
        <f t="shared" si="4"/>
        <v>0</v>
      </c>
      <c r="T57" s="230">
        <f t="shared" si="5"/>
        <v>0</v>
      </c>
      <c r="U57" s="231">
        <f t="shared" si="6"/>
        <v>0</v>
      </c>
      <c r="V57" s="321">
        <v>43976</v>
      </c>
      <c r="W57" s="320"/>
      <c r="X57" s="250"/>
      <c r="Y57" s="321"/>
      <c r="Z57" s="320"/>
      <c r="AA57" s="252"/>
      <c r="AB57" s="231"/>
      <c r="AC57" s="232"/>
      <c r="AD57" s="234"/>
      <c r="AE57" s="233"/>
      <c r="AF57" s="232"/>
      <c r="AG57" s="234"/>
      <c r="AH57" s="233"/>
      <c r="AI57" s="232"/>
      <c r="AJ57" s="232"/>
      <c r="AK57" s="246"/>
      <c r="AL57" s="236" t="s">
        <v>142</v>
      </c>
      <c r="AM57" s="246"/>
      <c r="AN57" s="303"/>
      <c r="AO57" s="294">
        <v>76729</v>
      </c>
      <c r="AP57" s="221">
        <v>0</v>
      </c>
      <c r="AQ57" s="295">
        <v>0</v>
      </c>
      <c r="AR57" s="220" t="s">
        <v>387</v>
      </c>
    </row>
    <row r="58" spans="1:44" s="19" customFormat="1" ht="105" x14ac:dyDescent="0.25">
      <c r="A58" s="262" t="s">
        <v>3</v>
      </c>
      <c r="B58" s="244" t="s">
        <v>99</v>
      </c>
      <c r="C58" s="244"/>
      <c r="D58" s="245" t="s">
        <v>384</v>
      </c>
      <c r="E58" s="245" t="s">
        <v>101</v>
      </c>
      <c r="F58" s="245" t="s">
        <v>284</v>
      </c>
      <c r="G58" s="245" t="s">
        <v>103</v>
      </c>
      <c r="H58" s="245"/>
      <c r="I58" s="245" t="s">
        <v>388</v>
      </c>
      <c r="J58" s="245" t="s">
        <v>389</v>
      </c>
      <c r="K58" s="245" t="s">
        <v>343</v>
      </c>
      <c r="L58" s="245"/>
      <c r="M58" s="245"/>
      <c r="N58" s="245"/>
      <c r="O58" s="245" t="s">
        <v>141</v>
      </c>
      <c r="P58" s="228">
        <f t="shared" si="1"/>
        <v>720000</v>
      </c>
      <c r="Q58" s="229">
        <f t="shared" si="2"/>
        <v>720000</v>
      </c>
      <c r="R58" s="230">
        <f t="shared" si="3"/>
        <v>0</v>
      </c>
      <c r="S58" s="230">
        <f t="shared" si="4"/>
        <v>0</v>
      </c>
      <c r="T58" s="230">
        <f t="shared" si="5"/>
        <v>0</v>
      </c>
      <c r="U58" s="231">
        <f t="shared" si="6"/>
        <v>0</v>
      </c>
      <c r="V58" s="321">
        <v>720000</v>
      </c>
      <c r="W58" s="320"/>
      <c r="X58" s="250"/>
      <c r="Y58" s="321"/>
      <c r="Z58" s="320"/>
      <c r="AA58" s="252"/>
      <c r="AB58" s="231"/>
      <c r="AC58" s="232"/>
      <c r="AD58" s="234"/>
      <c r="AE58" s="233"/>
      <c r="AF58" s="232"/>
      <c r="AG58" s="234"/>
      <c r="AH58" s="233"/>
      <c r="AI58" s="232"/>
      <c r="AJ58" s="232"/>
      <c r="AK58" s="246"/>
      <c r="AL58" s="236" t="s">
        <v>142</v>
      </c>
      <c r="AM58" s="246"/>
      <c r="AN58" s="303"/>
      <c r="AO58" s="294">
        <v>38944</v>
      </c>
      <c r="AP58" s="221">
        <v>0</v>
      </c>
      <c r="AQ58" s="295">
        <v>0</v>
      </c>
      <c r="AR58" s="220" t="s">
        <v>370</v>
      </c>
    </row>
    <row r="59" spans="1:44" s="35" customFormat="1" ht="105" x14ac:dyDescent="0.25">
      <c r="A59" s="262" t="s">
        <v>3</v>
      </c>
      <c r="B59" s="244" t="s">
        <v>99</v>
      </c>
      <c r="C59" s="244"/>
      <c r="D59" s="245" t="s">
        <v>384</v>
      </c>
      <c r="E59" s="245" t="s">
        <v>101</v>
      </c>
      <c r="F59" s="245" t="s">
        <v>284</v>
      </c>
      <c r="G59" s="245" t="s">
        <v>103</v>
      </c>
      <c r="H59" s="245"/>
      <c r="I59" s="245" t="s">
        <v>363</v>
      </c>
      <c r="J59" s="245" t="s">
        <v>390</v>
      </c>
      <c r="K59" s="245" t="s">
        <v>391</v>
      </c>
      <c r="L59" s="245"/>
      <c r="M59" s="245"/>
      <c r="N59" s="245"/>
      <c r="O59" s="245" t="s">
        <v>145</v>
      </c>
      <c r="P59" s="228">
        <f t="shared" si="1"/>
        <v>600000</v>
      </c>
      <c r="Q59" s="229">
        <f t="shared" si="2"/>
        <v>600000</v>
      </c>
      <c r="R59" s="230">
        <f t="shared" si="3"/>
        <v>0</v>
      </c>
      <c r="S59" s="230">
        <f t="shared" si="4"/>
        <v>0</v>
      </c>
      <c r="T59" s="230">
        <f t="shared" si="5"/>
        <v>0</v>
      </c>
      <c r="U59" s="231">
        <f t="shared" si="6"/>
        <v>0</v>
      </c>
      <c r="V59" s="321">
        <v>600000</v>
      </c>
      <c r="W59" s="320"/>
      <c r="X59" s="250"/>
      <c r="Y59" s="321"/>
      <c r="Z59" s="320"/>
      <c r="AA59" s="252"/>
      <c r="AB59" s="231"/>
      <c r="AC59" s="232"/>
      <c r="AD59" s="234"/>
      <c r="AE59" s="233"/>
      <c r="AF59" s="232"/>
      <c r="AG59" s="234"/>
      <c r="AH59" s="233"/>
      <c r="AI59" s="232"/>
      <c r="AJ59" s="232"/>
      <c r="AK59" s="235"/>
      <c r="AL59" s="236" t="s">
        <v>142</v>
      </c>
      <c r="AM59" s="246"/>
      <c r="AN59" s="303"/>
      <c r="AO59" s="294">
        <v>342896</v>
      </c>
      <c r="AP59" s="221"/>
      <c r="AQ59" s="295">
        <v>1608</v>
      </c>
      <c r="AR59" s="220" t="s">
        <v>370</v>
      </c>
    </row>
    <row r="60" spans="1:44" s="35" customFormat="1" ht="105" x14ac:dyDescent="0.25">
      <c r="A60" s="262" t="s">
        <v>3</v>
      </c>
      <c r="B60" s="244" t="s">
        <v>99</v>
      </c>
      <c r="C60" s="244"/>
      <c r="D60" s="245" t="s">
        <v>384</v>
      </c>
      <c r="E60" s="245" t="s">
        <v>101</v>
      </c>
      <c r="F60" s="245" t="s">
        <v>284</v>
      </c>
      <c r="G60" s="245" t="s">
        <v>103</v>
      </c>
      <c r="H60" s="245"/>
      <c r="I60" s="245" t="s">
        <v>363</v>
      </c>
      <c r="J60" s="245" t="s">
        <v>392</v>
      </c>
      <c r="K60" s="245" t="s">
        <v>391</v>
      </c>
      <c r="L60" s="245"/>
      <c r="M60" s="245"/>
      <c r="N60" s="245"/>
      <c r="O60" s="245" t="s">
        <v>145</v>
      </c>
      <c r="P60" s="228">
        <f t="shared" si="1"/>
        <v>400000</v>
      </c>
      <c r="Q60" s="229">
        <f t="shared" si="2"/>
        <v>400000</v>
      </c>
      <c r="R60" s="230">
        <f t="shared" si="3"/>
        <v>0</v>
      </c>
      <c r="S60" s="230">
        <f t="shared" si="4"/>
        <v>0</v>
      </c>
      <c r="T60" s="230">
        <f t="shared" si="5"/>
        <v>0</v>
      </c>
      <c r="U60" s="231">
        <f t="shared" si="6"/>
        <v>0</v>
      </c>
      <c r="V60" s="321">
        <v>400000</v>
      </c>
      <c r="W60" s="320"/>
      <c r="X60" s="250"/>
      <c r="Y60" s="321"/>
      <c r="Z60" s="320"/>
      <c r="AA60" s="252"/>
      <c r="AB60" s="231"/>
      <c r="AC60" s="232"/>
      <c r="AD60" s="234"/>
      <c r="AE60" s="233"/>
      <c r="AF60" s="232"/>
      <c r="AG60" s="234"/>
      <c r="AH60" s="233"/>
      <c r="AI60" s="232"/>
      <c r="AJ60" s="232"/>
      <c r="AK60" s="235"/>
      <c r="AL60" s="236" t="s">
        <v>111</v>
      </c>
      <c r="AM60" s="246"/>
      <c r="AN60" s="303"/>
      <c r="AO60" s="294">
        <v>344503</v>
      </c>
      <c r="AP60" s="221"/>
      <c r="AQ60" s="295"/>
      <c r="AR60" s="220" t="s">
        <v>370</v>
      </c>
    </row>
    <row r="61" spans="1:44" s="35" customFormat="1" ht="105" x14ac:dyDescent="0.25">
      <c r="A61" s="262" t="s">
        <v>3</v>
      </c>
      <c r="B61" s="244" t="s">
        <v>99</v>
      </c>
      <c r="C61" s="244"/>
      <c r="D61" s="245" t="s">
        <v>393</v>
      </c>
      <c r="E61" s="245" t="s">
        <v>101</v>
      </c>
      <c r="F61" s="245" t="s">
        <v>118</v>
      </c>
      <c r="G61" s="245" t="s">
        <v>103</v>
      </c>
      <c r="H61" s="245"/>
      <c r="I61" s="245" t="s">
        <v>394</v>
      </c>
      <c r="J61" s="245" t="s">
        <v>395</v>
      </c>
      <c r="K61" s="245" t="s">
        <v>343</v>
      </c>
      <c r="L61" s="245"/>
      <c r="M61" s="245"/>
      <c r="N61" s="245"/>
      <c r="O61" s="245" t="s">
        <v>283</v>
      </c>
      <c r="P61" s="228">
        <f t="shared" si="1"/>
        <v>257340</v>
      </c>
      <c r="Q61" s="229">
        <f t="shared" si="2"/>
        <v>257340</v>
      </c>
      <c r="R61" s="230">
        <f t="shared" si="3"/>
        <v>0</v>
      </c>
      <c r="S61" s="230">
        <f t="shared" si="4"/>
        <v>0</v>
      </c>
      <c r="T61" s="230">
        <f t="shared" si="5"/>
        <v>0</v>
      </c>
      <c r="U61" s="231">
        <f t="shared" si="6"/>
        <v>0</v>
      </c>
      <c r="V61" s="321">
        <v>257340</v>
      </c>
      <c r="W61" s="320"/>
      <c r="X61" s="250"/>
      <c r="Y61" s="321"/>
      <c r="Z61" s="320"/>
      <c r="AA61" s="252"/>
      <c r="AB61" s="231"/>
      <c r="AC61" s="232"/>
      <c r="AD61" s="234"/>
      <c r="AE61" s="233"/>
      <c r="AF61" s="232"/>
      <c r="AG61" s="234"/>
      <c r="AH61" s="233"/>
      <c r="AI61" s="232"/>
      <c r="AJ61" s="232"/>
      <c r="AK61" s="235"/>
      <c r="AL61" s="236" t="s">
        <v>111</v>
      </c>
      <c r="AM61" s="246"/>
      <c r="AN61" s="303"/>
      <c r="AO61" s="294">
        <v>257340</v>
      </c>
      <c r="AP61" s="221">
        <v>0</v>
      </c>
      <c r="AQ61" s="295">
        <v>0</v>
      </c>
      <c r="AR61" s="220" t="s">
        <v>396</v>
      </c>
    </row>
    <row r="62" spans="1:44" s="35" customFormat="1" ht="105" x14ac:dyDescent="0.25">
      <c r="A62" s="262" t="s">
        <v>3</v>
      </c>
      <c r="B62" s="244" t="s">
        <v>124</v>
      </c>
      <c r="C62" s="244"/>
      <c r="D62" s="245"/>
      <c r="E62" s="245" t="s">
        <v>101</v>
      </c>
      <c r="F62" s="245"/>
      <c r="G62" s="245"/>
      <c r="H62" s="245"/>
      <c r="I62" s="245" t="s">
        <v>397</v>
      </c>
      <c r="J62" s="245" t="s">
        <v>398</v>
      </c>
      <c r="K62" s="245" t="s">
        <v>399</v>
      </c>
      <c r="L62" s="245"/>
      <c r="M62" s="245"/>
      <c r="N62" s="245"/>
      <c r="O62" s="245" t="s">
        <v>258</v>
      </c>
      <c r="P62" s="228">
        <f t="shared" si="1"/>
        <v>8000000</v>
      </c>
      <c r="Q62" s="229">
        <f t="shared" si="2"/>
        <v>0</v>
      </c>
      <c r="R62" s="230">
        <f t="shared" si="3"/>
        <v>2000000</v>
      </c>
      <c r="S62" s="230">
        <f t="shared" si="4"/>
        <v>2000000</v>
      </c>
      <c r="T62" s="230">
        <f t="shared" si="5"/>
        <v>2000000</v>
      </c>
      <c r="U62" s="231">
        <f t="shared" si="6"/>
        <v>2000000</v>
      </c>
      <c r="V62" s="321">
        <v>0</v>
      </c>
      <c r="W62" s="320">
        <v>0</v>
      </c>
      <c r="X62" s="250">
        <v>0</v>
      </c>
      <c r="Y62" s="321">
        <v>1000000</v>
      </c>
      <c r="Z62" s="320">
        <v>250000</v>
      </c>
      <c r="AA62" s="252">
        <v>750000</v>
      </c>
      <c r="AB62" s="231">
        <v>1000000</v>
      </c>
      <c r="AC62" s="232">
        <v>250000</v>
      </c>
      <c r="AD62" s="234">
        <v>750000</v>
      </c>
      <c r="AE62" s="233">
        <v>1000000</v>
      </c>
      <c r="AF62" s="232">
        <v>250000</v>
      </c>
      <c r="AG62" s="234">
        <v>750000</v>
      </c>
      <c r="AH62" s="233">
        <v>1000000</v>
      </c>
      <c r="AI62" s="232">
        <v>250000</v>
      </c>
      <c r="AJ62" s="232">
        <v>750000</v>
      </c>
      <c r="AK62" s="235" t="s">
        <v>400</v>
      </c>
      <c r="AL62" s="236" t="s">
        <v>401</v>
      </c>
      <c r="AM62" s="246"/>
      <c r="AN62" s="303"/>
      <c r="AO62" s="294">
        <v>0</v>
      </c>
      <c r="AP62" s="221">
        <v>0</v>
      </c>
      <c r="AQ62" s="295">
        <v>0</v>
      </c>
      <c r="AR62" s="220" t="s">
        <v>402</v>
      </c>
    </row>
    <row r="63" spans="1:44" s="35" customFormat="1" ht="45" x14ac:dyDescent="0.25">
      <c r="A63" s="262" t="s">
        <v>3</v>
      </c>
      <c r="B63" s="244" t="s">
        <v>124</v>
      </c>
      <c r="C63" s="244"/>
      <c r="D63" s="245"/>
      <c r="E63" s="245" t="s">
        <v>101</v>
      </c>
      <c r="F63" s="245"/>
      <c r="G63" s="245"/>
      <c r="H63" s="245"/>
      <c r="I63" s="245"/>
      <c r="J63" s="245" t="s">
        <v>140</v>
      </c>
      <c r="K63" s="245"/>
      <c r="L63" s="245"/>
      <c r="M63" s="245"/>
      <c r="N63" s="245"/>
      <c r="O63" s="245" t="s">
        <v>141</v>
      </c>
      <c r="P63" s="228">
        <f t="shared" si="1"/>
        <v>2766249</v>
      </c>
      <c r="Q63" s="229">
        <f t="shared" si="2"/>
        <v>0</v>
      </c>
      <c r="R63" s="230">
        <f t="shared" si="3"/>
        <v>682521</v>
      </c>
      <c r="S63" s="230">
        <f t="shared" si="4"/>
        <v>692322</v>
      </c>
      <c r="T63" s="230">
        <f t="shared" si="5"/>
        <v>702610</v>
      </c>
      <c r="U63" s="231">
        <f t="shared" si="6"/>
        <v>688796</v>
      </c>
      <c r="V63" s="321"/>
      <c r="W63" s="320"/>
      <c r="X63" s="250"/>
      <c r="Y63" s="321">
        <v>486512</v>
      </c>
      <c r="Z63" s="320">
        <v>170443</v>
      </c>
      <c r="AA63" s="252">
        <v>25566</v>
      </c>
      <c r="AB63" s="231">
        <v>486512</v>
      </c>
      <c r="AC63" s="232">
        <v>178965</v>
      </c>
      <c r="AD63" s="234">
        <v>26845</v>
      </c>
      <c r="AE63" s="233">
        <v>486510</v>
      </c>
      <c r="AF63" s="232">
        <v>187913</v>
      </c>
      <c r="AG63" s="234">
        <v>28187</v>
      </c>
      <c r="AH63" s="233">
        <v>461891</v>
      </c>
      <c r="AI63" s="232">
        <v>197309</v>
      </c>
      <c r="AJ63" s="234">
        <v>29596</v>
      </c>
      <c r="AK63" s="235"/>
      <c r="AL63" s="236" t="s">
        <v>142</v>
      </c>
      <c r="AM63" s="246"/>
      <c r="AN63" s="303"/>
      <c r="AO63" s="294">
        <v>288950</v>
      </c>
      <c r="AP63" s="221">
        <v>125914</v>
      </c>
      <c r="AQ63" s="295">
        <v>18887</v>
      </c>
      <c r="AR63" s="220" t="s">
        <v>403</v>
      </c>
    </row>
    <row r="64" spans="1:44" s="19" customFormat="1" ht="45" x14ac:dyDescent="0.25">
      <c r="A64" s="262" t="s">
        <v>3</v>
      </c>
      <c r="B64" s="244" t="s">
        <v>124</v>
      </c>
      <c r="C64" s="244"/>
      <c r="D64" s="245"/>
      <c r="E64" s="245" t="s">
        <v>101</v>
      </c>
      <c r="F64" s="245"/>
      <c r="G64" s="245"/>
      <c r="H64" s="245"/>
      <c r="I64" s="245"/>
      <c r="J64" s="245" t="s">
        <v>143</v>
      </c>
      <c r="K64" s="245"/>
      <c r="L64" s="245"/>
      <c r="M64" s="245"/>
      <c r="N64" s="245"/>
      <c r="O64" s="245" t="s">
        <v>141</v>
      </c>
      <c r="P64" s="228">
        <f t="shared" si="1"/>
        <v>7930706.8333333358</v>
      </c>
      <c r="Q64" s="229">
        <f t="shared" si="2"/>
        <v>326106</v>
      </c>
      <c r="R64" s="230">
        <f t="shared" si="3"/>
        <v>1326150</v>
      </c>
      <c r="S64" s="230">
        <f t="shared" si="4"/>
        <v>1626150</v>
      </c>
      <c r="T64" s="230">
        <f t="shared" si="5"/>
        <v>2326150.4166666674</v>
      </c>
      <c r="U64" s="231">
        <f t="shared" si="6"/>
        <v>2326150.4166666674</v>
      </c>
      <c r="V64" s="321"/>
      <c r="W64" s="320">
        <v>283570</v>
      </c>
      <c r="X64" s="250">
        <v>42536</v>
      </c>
      <c r="Y64" s="321">
        <v>906315</v>
      </c>
      <c r="Z64" s="320">
        <v>357682.5</v>
      </c>
      <c r="AA64" s="252">
        <v>62152.5</v>
      </c>
      <c r="AB64" s="231">
        <v>1206315</v>
      </c>
      <c r="AC64" s="232">
        <v>357682.5</v>
      </c>
      <c r="AD64" s="234">
        <v>62152.5</v>
      </c>
      <c r="AE64" s="233">
        <v>1906315.4166666674</v>
      </c>
      <c r="AF64" s="232">
        <v>357682.5</v>
      </c>
      <c r="AG64" s="234">
        <v>62152.5</v>
      </c>
      <c r="AH64" s="233">
        <v>1906315.4166666674</v>
      </c>
      <c r="AI64" s="232">
        <v>357682.5</v>
      </c>
      <c r="AJ64" s="232">
        <v>62152.5</v>
      </c>
      <c r="AK64" s="235"/>
      <c r="AL64" s="236" t="s">
        <v>142</v>
      </c>
      <c r="AM64" s="246"/>
      <c r="AN64" s="303"/>
      <c r="AO64" s="294">
        <v>346456</v>
      </c>
      <c r="AP64" s="221">
        <v>259876</v>
      </c>
      <c r="AQ64" s="294">
        <v>38981</v>
      </c>
      <c r="AR64" s="220" t="s">
        <v>403</v>
      </c>
    </row>
    <row r="65" spans="1:44" s="19" customFormat="1" ht="30" x14ac:dyDescent="0.25">
      <c r="A65" s="262" t="s">
        <v>3</v>
      </c>
      <c r="B65" s="244" t="s">
        <v>124</v>
      </c>
      <c r="C65" s="244"/>
      <c r="D65" s="245"/>
      <c r="E65" s="245" t="s">
        <v>101</v>
      </c>
      <c r="F65" s="245"/>
      <c r="G65" s="245"/>
      <c r="H65" s="245"/>
      <c r="I65" s="245"/>
      <c r="J65" s="245" t="s">
        <v>145</v>
      </c>
      <c r="K65" s="245"/>
      <c r="L65" s="245"/>
      <c r="M65" s="245"/>
      <c r="N65" s="245"/>
      <c r="O65" s="245" t="s">
        <v>145</v>
      </c>
      <c r="P65" s="228">
        <f t="shared" si="1"/>
        <v>16970780</v>
      </c>
      <c r="Q65" s="229">
        <f t="shared" si="2"/>
        <v>3691996</v>
      </c>
      <c r="R65" s="230">
        <f t="shared" si="3"/>
        <v>3319696</v>
      </c>
      <c r="S65" s="230">
        <f t="shared" si="4"/>
        <v>3319696</v>
      </c>
      <c r="T65" s="230">
        <f t="shared" si="5"/>
        <v>3319696</v>
      </c>
      <c r="U65" s="231">
        <f t="shared" si="6"/>
        <v>3319696</v>
      </c>
      <c r="V65" s="321">
        <v>918000</v>
      </c>
      <c r="W65" s="320">
        <v>1543400</v>
      </c>
      <c r="X65" s="250">
        <v>1230596</v>
      </c>
      <c r="Y65" s="321">
        <v>918000</v>
      </c>
      <c r="Z65" s="320">
        <v>1171100</v>
      </c>
      <c r="AA65" s="252">
        <v>1230596</v>
      </c>
      <c r="AB65" s="231">
        <v>918000</v>
      </c>
      <c r="AC65" s="232">
        <v>1171100</v>
      </c>
      <c r="AD65" s="234">
        <v>1230596</v>
      </c>
      <c r="AE65" s="233">
        <v>918000</v>
      </c>
      <c r="AF65" s="232">
        <v>1171100</v>
      </c>
      <c r="AG65" s="234">
        <v>1230596</v>
      </c>
      <c r="AH65" s="233">
        <v>918000</v>
      </c>
      <c r="AI65" s="232">
        <v>1171100</v>
      </c>
      <c r="AJ65" s="232">
        <v>1230596</v>
      </c>
      <c r="AK65" s="235"/>
      <c r="AL65" s="236" t="s">
        <v>401</v>
      </c>
      <c r="AM65" s="246"/>
      <c r="AN65" s="303"/>
      <c r="AO65" s="294">
        <f>1633204-344503</f>
        <v>1288701</v>
      </c>
      <c r="AP65" s="221">
        <v>1058777</v>
      </c>
      <c r="AQ65" s="295">
        <v>1033795</v>
      </c>
      <c r="AR65" s="220" t="s">
        <v>404</v>
      </c>
    </row>
    <row r="66" spans="1:44" s="19" customFormat="1" ht="15.75" x14ac:dyDescent="0.25">
      <c r="A66" s="262" t="s">
        <v>146</v>
      </c>
      <c r="B66" s="244"/>
      <c r="C66" s="244"/>
      <c r="D66" s="245"/>
      <c r="E66" s="245"/>
      <c r="F66" s="245"/>
      <c r="G66" s="245"/>
      <c r="H66" s="245"/>
      <c r="I66" s="245"/>
      <c r="J66" s="245"/>
      <c r="K66" s="245"/>
      <c r="L66" s="245"/>
      <c r="M66" s="245"/>
      <c r="N66" s="245"/>
      <c r="O66" s="245"/>
      <c r="P66" s="228">
        <f t="shared" si="1"/>
        <v>0</v>
      </c>
      <c r="Q66" s="229">
        <f t="shared" si="2"/>
        <v>0</v>
      </c>
      <c r="R66" s="230">
        <f t="shared" si="3"/>
        <v>0</v>
      </c>
      <c r="S66" s="230">
        <f t="shared" si="4"/>
        <v>0</v>
      </c>
      <c r="T66" s="230">
        <f t="shared" si="5"/>
        <v>0</v>
      </c>
      <c r="U66" s="231">
        <f t="shared" si="6"/>
        <v>0</v>
      </c>
      <c r="V66" s="321"/>
      <c r="W66" s="320"/>
      <c r="X66" s="250"/>
      <c r="Y66" s="321"/>
      <c r="Z66" s="320"/>
      <c r="AA66" s="252"/>
      <c r="AB66" s="231"/>
      <c r="AC66" s="232"/>
      <c r="AD66" s="234"/>
      <c r="AE66" s="233"/>
      <c r="AF66" s="232"/>
      <c r="AG66" s="234"/>
      <c r="AH66" s="233"/>
      <c r="AI66" s="232"/>
      <c r="AJ66" s="232"/>
      <c r="AK66" s="235"/>
      <c r="AL66" s="236"/>
      <c r="AM66" s="301"/>
      <c r="AN66" s="303"/>
      <c r="AO66" s="294"/>
      <c r="AP66" s="221"/>
      <c r="AQ66" s="295"/>
      <c r="AR66" s="220"/>
    </row>
    <row r="67" spans="1:44" s="19" customFormat="1" ht="180" x14ac:dyDescent="0.25">
      <c r="A67" s="262" t="s">
        <v>405</v>
      </c>
      <c r="B67" s="244" t="s">
        <v>147</v>
      </c>
      <c r="C67" s="244"/>
      <c r="D67" s="245" t="s">
        <v>148</v>
      </c>
      <c r="E67" s="245" t="s">
        <v>101</v>
      </c>
      <c r="F67" s="245" t="s">
        <v>149</v>
      </c>
      <c r="G67" s="245" t="s">
        <v>127</v>
      </c>
      <c r="H67" s="245" t="s">
        <v>150</v>
      </c>
      <c r="I67" s="245" t="s">
        <v>406</v>
      </c>
      <c r="J67" s="244" t="s">
        <v>407</v>
      </c>
      <c r="K67" s="245" t="s">
        <v>408</v>
      </c>
      <c r="L67" s="245"/>
      <c r="M67" s="245"/>
      <c r="N67" s="245" t="s">
        <v>409</v>
      </c>
      <c r="O67" s="245" t="s">
        <v>145</v>
      </c>
      <c r="P67" s="228">
        <f t="shared" ref="P67:P131" si="7">SUM(Q67:U67)</f>
        <v>5000</v>
      </c>
      <c r="Q67" s="229">
        <f t="shared" si="2"/>
        <v>5000</v>
      </c>
      <c r="R67" s="230">
        <f t="shared" ref="R67:R131" si="8">SUM(Y67:AA67)</f>
        <v>0</v>
      </c>
      <c r="S67" s="230">
        <f t="shared" ref="S67:S131" si="9">SUM(AB67:AD67)</f>
        <v>0</v>
      </c>
      <c r="T67" s="230">
        <f t="shared" ref="T67:T131" si="10">SUM(AE67:AG67)</f>
        <v>0</v>
      </c>
      <c r="U67" s="231">
        <f t="shared" ref="U67:U131" si="11">SUM(AH67:AJ67)</f>
        <v>0</v>
      </c>
      <c r="V67" s="321"/>
      <c r="W67" s="320"/>
      <c r="X67" s="250">
        <v>5000</v>
      </c>
      <c r="Y67" s="321"/>
      <c r="Z67" s="320"/>
      <c r="AA67" s="252"/>
      <c r="AB67" s="231"/>
      <c r="AC67" s="232"/>
      <c r="AD67" s="234"/>
      <c r="AE67" s="233"/>
      <c r="AF67" s="232"/>
      <c r="AG67" s="234"/>
      <c r="AH67" s="233"/>
      <c r="AI67" s="232"/>
      <c r="AJ67" s="232"/>
      <c r="AK67" s="235" t="s">
        <v>410</v>
      </c>
      <c r="AL67" s="236" t="s">
        <v>111</v>
      </c>
      <c r="AM67" s="301" t="s">
        <v>411</v>
      </c>
      <c r="AN67" s="303"/>
      <c r="AO67" s="294">
        <v>3000</v>
      </c>
      <c r="AP67" s="221"/>
      <c r="AQ67" s="295"/>
      <c r="AR67" s="220" t="s">
        <v>412</v>
      </c>
    </row>
    <row r="68" spans="1:44" s="19" customFormat="1" ht="90" x14ac:dyDescent="0.25">
      <c r="A68" s="262" t="s">
        <v>405</v>
      </c>
      <c r="B68" s="244" t="s">
        <v>147</v>
      </c>
      <c r="C68" s="244"/>
      <c r="D68" s="245" t="s">
        <v>148</v>
      </c>
      <c r="E68" s="245" t="s">
        <v>101</v>
      </c>
      <c r="F68" s="245" t="s">
        <v>149</v>
      </c>
      <c r="G68" s="245" t="s">
        <v>127</v>
      </c>
      <c r="H68" s="247" t="s">
        <v>150</v>
      </c>
      <c r="I68" s="247" t="s">
        <v>413</v>
      </c>
      <c r="J68" s="248" t="s">
        <v>407</v>
      </c>
      <c r="K68" s="247" t="s">
        <v>414</v>
      </c>
      <c r="L68" s="247"/>
      <c r="M68" s="247"/>
      <c r="N68" s="247"/>
      <c r="O68" s="247" t="s">
        <v>258</v>
      </c>
      <c r="P68" s="228">
        <f t="shared" si="7"/>
        <v>0</v>
      </c>
      <c r="Q68" s="229">
        <f t="shared" si="2"/>
        <v>0</v>
      </c>
      <c r="R68" s="230">
        <f t="shared" si="8"/>
        <v>0</v>
      </c>
      <c r="S68" s="230">
        <f t="shared" si="9"/>
        <v>0</v>
      </c>
      <c r="T68" s="230">
        <f t="shared" si="10"/>
        <v>0</v>
      </c>
      <c r="U68" s="231">
        <f t="shared" si="11"/>
        <v>0</v>
      </c>
      <c r="V68" s="321"/>
      <c r="W68" s="320"/>
      <c r="X68" s="250"/>
      <c r="Y68" s="321"/>
      <c r="Z68" s="320"/>
      <c r="AA68" s="252"/>
      <c r="AB68" s="249"/>
      <c r="AC68" s="250"/>
      <c r="AD68" s="252"/>
      <c r="AE68" s="251"/>
      <c r="AF68" s="250"/>
      <c r="AG68" s="252"/>
      <c r="AH68" s="251"/>
      <c r="AI68" s="250"/>
      <c r="AJ68" s="250"/>
      <c r="AK68" s="253" t="s">
        <v>156</v>
      </c>
      <c r="AL68" s="236" t="s">
        <v>111</v>
      </c>
      <c r="AM68" s="301" t="s">
        <v>411</v>
      </c>
      <c r="AN68" s="303"/>
      <c r="AO68" s="294">
        <v>0</v>
      </c>
      <c r="AP68" s="221">
        <v>0</v>
      </c>
      <c r="AQ68" s="295">
        <v>0</v>
      </c>
      <c r="AR68" s="220" t="s">
        <v>415</v>
      </c>
    </row>
    <row r="69" spans="1:44" s="19" customFormat="1" ht="240" x14ac:dyDescent="0.25">
      <c r="A69" s="262" t="s">
        <v>405</v>
      </c>
      <c r="B69" s="244" t="s">
        <v>147</v>
      </c>
      <c r="C69" s="244"/>
      <c r="D69" s="245" t="s">
        <v>148</v>
      </c>
      <c r="E69" s="245" t="s">
        <v>101</v>
      </c>
      <c r="F69" s="245" t="s">
        <v>149</v>
      </c>
      <c r="G69" s="245" t="s">
        <v>103</v>
      </c>
      <c r="H69" s="247" t="s">
        <v>150</v>
      </c>
      <c r="I69" s="247" t="s">
        <v>151</v>
      </c>
      <c r="J69" s="248" t="s">
        <v>152</v>
      </c>
      <c r="K69" s="247" t="s">
        <v>416</v>
      </c>
      <c r="L69" s="247"/>
      <c r="M69" s="247"/>
      <c r="N69" s="247" t="s">
        <v>155</v>
      </c>
      <c r="O69" s="247" t="s">
        <v>109</v>
      </c>
      <c r="P69" s="228">
        <f t="shared" si="7"/>
        <v>151319</v>
      </c>
      <c r="Q69" s="229">
        <f t="shared" si="2"/>
        <v>12009</v>
      </c>
      <c r="R69" s="230">
        <f t="shared" si="8"/>
        <v>139310</v>
      </c>
      <c r="S69" s="230">
        <f t="shared" si="9"/>
        <v>0</v>
      </c>
      <c r="T69" s="230">
        <f t="shared" si="10"/>
        <v>0</v>
      </c>
      <c r="U69" s="231">
        <f t="shared" si="11"/>
        <v>0</v>
      </c>
      <c r="V69" s="321"/>
      <c r="W69" s="320">
        <v>12009</v>
      </c>
      <c r="X69" s="250"/>
      <c r="Y69" s="321">
        <v>125000</v>
      </c>
      <c r="Z69" s="320">
        <v>14310</v>
      </c>
      <c r="AA69" s="252"/>
      <c r="AB69" s="249"/>
      <c r="AC69" s="250"/>
      <c r="AD69" s="252"/>
      <c r="AE69" s="251"/>
      <c r="AF69" s="250"/>
      <c r="AG69" s="252"/>
      <c r="AH69" s="251"/>
      <c r="AI69" s="250"/>
      <c r="AJ69" s="250"/>
      <c r="AK69" s="253" t="s">
        <v>156</v>
      </c>
      <c r="AL69" s="236" t="s">
        <v>142</v>
      </c>
      <c r="AM69" s="301" t="s">
        <v>411</v>
      </c>
      <c r="AN69" s="303"/>
      <c r="AO69" s="294">
        <v>0</v>
      </c>
      <c r="AP69" s="221">
        <v>0</v>
      </c>
      <c r="AQ69" s="295">
        <v>0</v>
      </c>
      <c r="AR69" s="220" t="s">
        <v>417</v>
      </c>
    </row>
    <row r="70" spans="1:44" s="35" customFormat="1" ht="120" x14ac:dyDescent="0.25">
      <c r="A70" s="262" t="s">
        <v>405</v>
      </c>
      <c r="B70" s="244" t="s">
        <v>147</v>
      </c>
      <c r="C70" s="244"/>
      <c r="D70" s="245" t="s">
        <v>148</v>
      </c>
      <c r="E70" s="245" t="s">
        <v>101</v>
      </c>
      <c r="F70" s="245" t="s">
        <v>157</v>
      </c>
      <c r="G70" s="245" t="s">
        <v>103</v>
      </c>
      <c r="H70" s="245" t="s">
        <v>150</v>
      </c>
      <c r="I70" s="245" t="s">
        <v>158</v>
      </c>
      <c r="J70" s="261" t="s">
        <v>152</v>
      </c>
      <c r="K70" s="245" t="s">
        <v>159</v>
      </c>
      <c r="L70" s="245"/>
      <c r="M70" s="245"/>
      <c r="N70" s="245" t="s">
        <v>160</v>
      </c>
      <c r="O70" s="245" t="s">
        <v>109</v>
      </c>
      <c r="P70" s="228">
        <f t="shared" si="7"/>
        <v>1332773</v>
      </c>
      <c r="Q70" s="229">
        <f t="shared" si="2"/>
        <v>0</v>
      </c>
      <c r="R70" s="230">
        <f t="shared" si="8"/>
        <v>260647</v>
      </c>
      <c r="S70" s="230">
        <f t="shared" si="9"/>
        <v>591733</v>
      </c>
      <c r="T70" s="230">
        <f t="shared" si="10"/>
        <v>480393</v>
      </c>
      <c r="U70" s="231">
        <f t="shared" si="11"/>
        <v>0</v>
      </c>
      <c r="V70" s="321"/>
      <c r="W70" s="320"/>
      <c r="X70" s="250"/>
      <c r="Y70" s="321">
        <v>201300</v>
      </c>
      <c r="Z70" s="320">
        <v>59347</v>
      </c>
      <c r="AA70" s="252"/>
      <c r="AB70" s="231">
        <v>502200</v>
      </c>
      <c r="AC70" s="232">
        <v>89533</v>
      </c>
      <c r="AD70" s="234"/>
      <c r="AE70" s="233">
        <v>428580</v>
      </c>
      <c r="AF70" s="232">
        <v>51813</v>
      </c>
      <c r="AG70" s="234"/>
      <c r="AH70" s="233"/>
      <c r="AI70" s="232"/>
      <c r="AJ70" s="232"/>
      <c r="AK70" s="235" t="s">
        <v>161</v>
      </c>
      <c r="AL70" s="236" t="s">
        <v>111</v>
      </c>
      <c r="AM70" s="246" t="s">
        <v>411</v>
      </c>
      <c r="AN70" s="303"/>
      <c r="AO70" s="294">
        <v>0</v>
      </c>
      <c r="AP70" s="221">
        <v>0</v>
      </c>
      <c r="AQ70" s="295">
        <v>0</v>
      </c>
      <c r="AR70" s="220" t="s">
        <v>418</v>
      </c>
    </row>
    <row r="71" spans="1:44" s="35" customFormat="1" ht="75" x14ac:dyDescent="0.25">
      <c r="A71" s="262" t="s">
        <v>405</v>
      </c>
      <c r="B71" s="244" t="s">
        <v>147</v>
      </c>
      <c r="C71" s="244"/>
      <c r="D71" s="245" t="s">
        <v>148</v>
      </c>
      <c r="E71" s="245" t="s">
        <v>101</v>
      </c>
      <c r="F71" s="245" t="s">
        <v>149</v>
      </c>
      <c r="G71" s="245" t="s">
        <v>127</v>
      </c>
      <c r="H71" s="245" t="s">
        <v>150</v>
      </c>
      <c r="I71" s="245" t="s">
        <v>419</v>
      </c>
      <c r="J71" s="245" t="s">
        <v>152</v>
      </c>
      <c r="K71" s="245">
        <v>2026</v>
      </c>
      <c r="L71" s="245"/>
      <c r="M71" s="245"/>
      <c r="N71" s="245"/>
      <c r="O71" s="245" t="s">
        <v>258</v>
      </c>
      <c r="P71" s="228">
        <f t="shared" si="7"/>
        <v>71230</v>
      </c>
      <c r="Q71" s="229">
        <f t="shared" si="2"/>
        <v>0</v>
      </c>
      <c r="R71" s="230">
        <f t="shared" si="8"/>
        <v>0</v>
      </c>
      <c r="S71" s="230">
        <f t="shared" si="9"/>
        <v>0</v>
      </c>
      <c r="T71" s="230">
        <f t="shared" si="10"/>
        <v>71230</v>
      </c>
      <c r="U71" s="231">
        <f t="shared" si="11"/>
        <v>0</v>
      </c>
      <c r="V71" s="321"/>
      <c r="W71" s="320"/>
      <c r="X71" s="250"/>
      <c r="Y71" s="321"/>
      <c r="Z71" s="320"/>
      <c r="AA71" s="252"/>
      <c r="AB71" s="231"/>
      <c r="AC71" s="232"/>
      <c r="AD71" s="234"/>
      <c r="AE71" s="233">
        <v>62400</v>
      </c>
      <c r="AF71" s="232">
        <v>8830</v>
      </c>
      <c r="AG71" s="234"/>
      <c r="AH71" s="233"/>
      <c r="AI71" s="232"/>
      <c r="AJ71" s="234"/>
      <c r="AK71" s="235" t="s">
        <v>420</v>
      </c>
      <c r="AL71" s="236" t="s">
        <v>142</v>
      </c>
      <c r="AM71" s="246" t="s">
        <v>411</v>
      </c>
      <c r="AN71" s="303"/>
      <c r="AO71" s="294">
        <v>0</v>
      </c>
      <c r="AP71" s="221">
        <v>0</v>
      </c>
      <c r="AQ71" s="295">
        <v>0</v>
      </c>
      <c r="AR71" s="220" t="s">
        <v>415</v>
      </c>
    </row>
    <row r="72" spans="1:44" s="19" customFormat="1" ht="75" x14ac:dyDescent="0.25">
      <c r="A72" s="262" t="s">
        <v>405</v>
      </c>
      <c r="B72" s="244" t="s">
        <v>147</v>
      </c>
      <c r="C72" s="244"/>
      <c r="D72" s="245" t="s">
        <v>148</v>
      </c>
      <c r="E72" s="245" t="s">
        <v>101</v>
      </c>
      <c r="F72" s="247" t="s">
        <v>163</v>
      </c>
      <c r="G72" s="247" t="s">
        <v>127</v>
      </c>
      <c r="H72" s="247" t="s">
        <v>150</v>
      </c>
      <c r="I72" s="248" t="s">
        <v>421</v>
      </c>
      <c r="J72" s="248" t="s">
        <v>152</v>
      </c>
      <c r="K72" s="248">
        <v>2026</v>
      </c>
      <c r="L72" s="247"/>
      <c r="M72" s="247"/>
      <c r="N72" s="247"/>
      <c r="O72" s="245" t="s">
        <v>145</v>
      </c>
      <c r="P72" s="228">
        <f t="shared" si="7"/>
        <v>5000</v>
      </c>
      <c r="Q72" s="229">
        <f t="shared" si="2"/>
        <v>0</v>
      </c>
      <c r="R72" s="230">
        <f t="shared" si="8"/>
        <v>0</v>
      </c>
      <c r="S72" s="230">
        <f t="shared" si="9"/>
        <v>0</v>
      </c>
      <c r="T72" s="230">
        <f t="shared" si="10"/>
        <v>5000</v>
      </c>
      <c r="U72" s="231">
        <f t="shared" si="11"/>
        <v>0</v>
      </c>
      <c r="V72" s="321"/>
      <c r="W72" s="320"/>
      <c r="X72" s="250"/>
      <c r="Y72" s="321"/>
      <c r="Z72" s="320"/>
      <c r="AA72" s="252"/>
      <c r="AB72" s="469"/>
      <c r="AC72" s="470"/>
      <c r="AD72" s="471"/>
      <c r="AE72" s="472"/>
      <c r="AF72" s="470"/>
      <c r="AG72" s="471">
        <v>5000</v>
      </c>
      <c r="AH72" s="472"/>
      <c r="AI72" s="470"/>
      <c r="AJ72" s="471"/>
      <c r="AK72" s="253" t="s">
        <v>156</v>
      </c>
      <c r="AL72" s="236" t="s">
        <v>111</v>
      </c>
      <c r="AM72" s="301" t="s">
        <v>411</v>
      </c>
      <c r="AN72" s="303"/>
      <c r="AO72" s="294">
        <v>0</v>
      </c>
      <c r="AP72" s="221">
        <v>0</v>
      </c>
      <c r="AQ72" s="295">
        <v>0</v>
      </c>
      <c r="AR72" s="220" t="s">
        <v>422</v>
      </c>
    </row>
    <row r="73" spans="1:44" s="19" customFormat="1" ht="75" x14ac:dyDescent="0.25">
      <c r="A73" s="262" t="s">
        <v>405</v>
      </c>
      <c r="B73" s="244" t="s">
        <v>147</v>
      </c>
      <c r="C73" s="244"/>
      <c r="D73" s="245" t="s">
        <v>148</v>
      </c>
      <c r="E73" s="245" t="s">
        <v>101</v>
      </c>
      <c r="F73" s="247" t="s">
        <v>149</v>
      </c>
      <c r="G73" s="247" t="s">
        <v>127</v>
      </c>
      <c r="H73" s="247" t="s">
        <v>150</v>
      </c>
      <c r="I73" s="248" t="s">
        <v>423</v>
      </c>
      <c r="J73" s="248" t="s">
        <v>152</v>
      </c>
      <c r="K73" s="248" t="s">
        <v>424</v>
      </c>
      <c r="L73" s="247"/>
      <c r="M73" s="247"/>
      <c r="N73" s="247"/>
      <c r="O73" s="245" t="s">
        <v>145</v>
      </c>
      <c r="P73" s="228">
        <f t="shared" si="7"/>
        <v>0</v>
      </c>
      <c r="Q73" s="229">
        <f t="shared" si="2"/>
        <v>0</v>
      </c>
      <c r="R73" s="230">
        <f t="shared" si="8"/>
        <v>0</v>
      </c>
      <c r="S73" s="230">
        <f t="shared" si="9"/>
        <v>0</v>
      </c>
      <c r="T73" s="230">
        <f t="shared" si="10"/>
        <v>0</v>
      </c>
      <c r="U73" s="231">
        <f t="shared" si="11"/>
        <v>0</v>
      </c>
      <c r="V73" s="321"/>
      <c r="W73" s="320"/>
      <c r="X73" s="250"/>
      <c r="Y73" s="321"/>
      <c r="Z73" s="320"/>
      <c r="AA73" s="252"/>
      <c r="AB73" s="249"/>
      <c r="AC73" s="250"/>
      <c r="AD73" s="252"/>
      <c r="AE73" s="249"/>
      <c r="AF73" s="250"/>
      <c r="AG73" s="252"/>
      <c r="AH73" s="249"/>
      <c r="AI73" s="250"/>
      <c r="AJ73" s="252"/>
      <c r="AK73" s="253" t="s">
        <v>156</v>
      </c>
      <c r="AL73" s="236" t="s">
        <v>142</v>
      </c>
      <c r="AM73" s="301" t="s">
        <v>411</v>
      </c>
      <c r="AN73" s="303"/>
      <c r="AO73" s="294">
        <v>0</v>
      </c>
      <c r="AP73" s="221">
        <v>0</v>
      </c>
      <c r="AQ73" s="295">
        <v>0</v>
      </c>
      <c r="AR73" s="220" t="s">
        <v>422</v>
      </c>
    </row>
    <row r="74" spans="1:44" s="19" customFormat="1" ht="75" x14ac:dyDescent="0.25">
      <c r="A74" s="262" t="s">
        <v>405</v>
      </c>
      <c r="B74" s="244" t="s">
        <v>147</v>
      </c>
      <c r="C74" s="244"/>
      <c r="D74" s="245" t="s">
        <v>148</v>
      </c>
      <c r="E74" s="245" t="s">
        <v>101</v>
      </c>
      <c r="F74" s="247" t="s">
        <v>163</v>
      </c>
      <c r="G74" s="247" t="s">
        <v>127</v>
      </c>
      <c r="H74" s="247" t="s">
        <v>150</v>
      </c>
      <c r="I74" s="248" t="s">
        <v>164</v>
      </c>
      <c r="J74" s="248" t="s">
        <v>152</v>
      </c>
      <c r="K74" s="248" t="s">
        <v>165</v>
      </c>
      <c r="L74" s="247"/>
      <c r="M74" s="247"/>
      <c r="N74" s="247"/>
      <c r="O74" s="245" t="s">
        <v>109</v>
      </c>
      <c r="P74" s="228">
        <f t="shared" si="7"/>
        <v>10000</v>
      </c>
      <c r="Q74" s="229">
        <f t="shared" si="2"/>
        <v>0</v>
      </c>
      <c r="R74" s="230">
        <f t="shared" si="8"/>
        <v>0</v>
      </c>
      <c r="S74" s="230">
        <f t="shared" si="9"/>
        <v>0</v>
      </c>
      <c r="T74" s="230">
        <f t="shared" si="10"/>
        <v>10000</v>
      </c>
      <c r="U74" s="231">
        <f t="shared" si="11"/>
        <v>0</v>
      </c>
      <c r="V74" s="321"/>
      <c r="W74" s="320"/>
      <c r="X74" s="250"/>
      <c r="Y74" s="321"/>
      <c r="Z74" s="320"/>
      <c r="AA74" s="252"/>
      <c r="AB74" s="249"/>
      <c r="AC74" s="250"/>
      <c r="AD74" s="252"/>
      <c r="AE74" s="249">
        <v>10000</v>
      </c>
      <c r="AF74" s="250"/>
      <c r="AG74" s="252"/>
      <c r="AH74" s="249"/>
      <c r="AI74" s="250"/>
      <c r="AJ74" s="252"/>
      <c r="AK74" s="253" t="s">
        <v>156</v>
      </c>
      <c r="AL74" s="236" t="s">
        <v>142</v>
      </c>
      <c r="AM74" s="301" t="s">
        <v>411</v>
      </c>
      <c r="AN74" s="303"/>
      <c r="AO74" s="294">
        <v>0</v>
      </c>
      <c r="AP74" s="221">
        <v>0</v>
      </c>
      <c r="AQ74" s="295">
        <v>0</v>
      </c>
      <c r="AR74" s="220" t="s">
        <v>425</v>
      </c>
    </row>
    <row r="75" spans="1:44" s="19" customFormat="1" ht="105" x14ac:dyDescent="0.25">
      <c r="A75" s="262" t="s">
        <v>405</v>
      </c>
      <c r="B75" s="244" t="s">
        <v>147</v>
      </c>
      <c r="C75" s="244"/>
      <c r="D75" s="245" t="s">
        <v>148</v>
      </c>
      <c r="E75" s="245" t="s">
        <v>101</v>
      </c>
      <c r="F75" s="247" t="s">
        <v>157</v>
      </c>
      <c r="G75" s="247" t="s">
        <v>103</v>
      </c>
      <c r="H75" s="247" t="s">
        <v>150</v>
      </c>
      <c r="I75" s="248" t="s">
        <v>426</v>
      </c>
      <c r="J75" s="248" t="s">
        <v>152</v>
      </c>
      <c r="K75" s="248" t="s">
        <v>414</v>
      </c>
      <c r="L75" s="247"/>
      <c r="M75" s="247"/>
      <c r="N75" s="247"/>
      <c r="O75" s="245" t="s">
        <v>258</v>
      </c>
      <c r="P75" s="228">
        <f t="shared" si="7"/>
        <v>299774</v>
      </c>
      <c r="Q75" s="229">
        <f t="shared" si="2"/>
        <v>0</v>
      </c>
      <c r="R75" s="230">
        <f t="shared" si="8"/>
        <v>0</v>
      </c>
      <c r="S75" s="230">
        <f t="shared" si="9"/>
        <v>0</v>
      </c>
      <c r="T75" s="230">
        <f t="shared" si="10"/>
        <v>137416</v>
      </c>
      <c r="U75" s="231">
        <f t="shared" si="11"/>
        <v>162358</v>
      </c>
      <c r="V75" s="321"/>
      <c r="W75" s="320"/>
      <c r="X75" s="250"/>
      <c r="Y75" s="321"/>
      <c r="Z75" s="320"/>
      <c r="AA75" s="252"/>
      <c r="AB75" s="249"/>
      <c r="AC75" s="250"/>
      <c r="AD75" s="252"/>
      <c r="AE75" s="249"/>
      <c r="AF75" s="250">
        <v>54216</v>
      </c>
      <c r="AG75" s="252">
        <v>83200</v>
      </c>
      <c r="AH75" s="249"/>
      <c r="AI75" s="250">
        <v>56358</v>
      </c>
      <c r="AJ75" s="252">
        <v>106000</v>
      </c>
      <c r="AK75" s="253" t="s">
        <v>410</v>
      </c>
      <c r="AL75" s="236" t="s">
        <v>111</v>
      </c>
      <c r="AM75" s="301" t="s">
        <v>411</v>
      </c>
      <c r="AN75" s="303"/>
      <c r="AO75" s="294">
        <v>0</v>
      </c>
      <c r="AP75" s="221">
        <v>0</v>
      </c>
      <c r="AQ75" s="295">
        <v>0</v>
      </c>
      <c r="AR75" s="220" t="s">
        <v>415</v>
      </c>
    </row>
    <row r="76" spans="1:44" s="19" customFormat="1" ht="105" x14ac:dyDescent="0.25">
      <c r="A76" s="262" t="s">
        <v>405</v>
      </c>
      <c r="B76" s="244" t="s">
        <v>147</v>
      </c>
      <c r="C76" s="244"/>
      <c r="D76" s="245" t="s">
        <v>148</v>
      </c>
      <c r="E76" s="245" t="s">
        <v>101</v>
      </c>
      <c r="F76" s="247" t="s">
        <v>157</v>
      </c>
      <c r="G76" s="247" t="s">
        <v>103</v>
      </c>
      <c r="H76" s="247" t="s">
        <v>150</v>
      </c>
      <c r="I76" s="248" t="s">
        <v>167</v>
      </c>
      <c r="J76" s="248" t="s">
        <v>152</v>
      </c>
      <c r="K76" s="248">
        <v>2027</v>
      </c>
      <c r="L76" s="247"/>
      <c r="M76" s="247"/>
      <c r="N76" s="247" t="s">
        <v>160</v>
      </c>
      <c r="O76" s="245" t="s">
        <v>109</v>
      </c>
      <c r="P76" s="228">
        <f t="shared" si="7"/>
        <v>383199</v>
      </c>
      <c r="Q76" s="229">
        <f t="shared" si="2"/>
        <v>0</v>
      </c>
      <c r="R76" s="230">
        <f t="shared" si="8"/>
        <v>0</v>
      </c>
      <c r="S76" s="230">
        <f t="shared" si="9"/>
        <v>0</v>
      </c>
      <c r="T76" s="230">
        <f t="shared" si="10"/>
        <v>0</v>
      </c>
      <c r="U76" s="231">
        <f t="shared" si="11"/>
        <v>383199</v>
      </c>
      <c r="V76" s="321"/>
      <c r="W76" s="320"/>
      <c r="X76" s="250"/>
      <c r="Y76" s="321"/>
      <c r="Z76" s="320"/>
      <c r="AA76" s="252"/>
      <c r="AB76" s="249"/>
      <c r="AC76" s="250"/>
      <c r="AD76" s="252"/>
      <c r="AE76" s="249"/>
      <c r="AF76" s="250"/>
      <c r="AG76" s="252"/>
      <c r="AH76" s="249">
        <v>300800</v>
      </c>
      <c r="AI76" s="250">
        <v>82399</v>
      </c>
      <c r="AJ76" s="252"/>
      <c r="AK76" s="253" t="s">
        <v>156</v>
      </c>
      <c r="AL76" s="236" t="s">
        <v>111</v>
      </c>
      <c r="AM76" s="301" t="s">
        <v>411</v>
      </c>
      <c r="AN76" s="303"/>
      <c r="AO76" s="294">
        <v>0</v>
      </c>
      <c r="AP76" s="221">
        <v>0</v>
      </c>
      <c r="AQ76" s="295">
        <v>0</v>
      </c>
      <c r="AR76" s="220" t="s">
        <v>427</v>
      </c>
    </row>
    <row r="77" spans="1:44" s="19" customFormat="1" ht="180" x14ac:dyDescent="0.25">
      <c r="A77" s="262" t="s">
        <v>405</v>
      </c>
      <c r="B77" s="244" t="s">
        <v>147</v>
      </c>
      <c r="C77" s="244"/>
      <c r="D77" s="245" t="s">
        <v>148</v>
      </c>
      <c r="E77" s="245" t="s">
        <v>101</v>
      </c>
      <c r="F77" s="247" t="s">
        <v>149</v>
      </c>
      <c r="G77" s="247" t="s">
        <v>103</v>
      </c>
      <c r="H77" s="247" t="s">
        <v>168</v>
      </c>
      <c r="I77" s="248" t="s">
        <v>169</v>
      </c>
      <c r="J77" s="248" t="s">
        <v>170</v>
      </c>
      <c r="K77" s="248" t="s">
        <v>428</v>
      </c>
      <c r="L77" s="247"/>
      <c r="M77" s="247"/>
      <c r="N77" s="247" t="s">
        <v>160</v>
      </c>
      <c r="O77" s="245" t="s">
        <v>109</v>
      </c>
      <c r="P77" s="228">
        <f t="shared" si="7"/>
        <v>898538</v>
      </c>
      <c r="Q77" s="229">
        <f t="shared" si="2"/>
        <v>125000</v>
      </c>
      <c r="R77" s="230">
        <f t="shared" si="8"/>
        <v>355501</v>
      </c>
      <c r="S77" s="230">
        <f t="shared" si="9"/>
        <v>371269</v>
      </c>
      <c r="T77" s="230">
        <f t="shared" si="10"/>
        <v>33798</v>
      </c>
      <c r="U77" s="231">
        <f t="shared" si="11"/>
        <v>12970</v>
      </c>
      <c r="V77" s="321">
        <v>125000</v>
      </c>
      <c r="W77" s="320"/>
      <c r="X77" s="250"/>
      <c r="Y77" s="321">
        <v>302800</v>
      </c>
      <c r="Z77" s="320">
        <v>52701</v>
      </c>
      <c r="AA77" s="252"/>
      <c r="AB77" s="469">
        <v>323360</v>
      </c>
      <c r="AC77" s="470">
        <v>47909</v>
      </c>
      <c r="AD77" s="471"/>
      <c r="AE77" s="472"/>
      <c r="AF77" s="470">
        <v>33798</v>
      </c>
      <c r="AG77" s="471"/>
      <c r="AH77" s="472"/>
      <c r="AI77" s="470">
        <v>12970</v>
      </c>
      <c r="AJ77" s="471"/>
      <c r="AK77" s="253" t="s">
        <v>156</v>
      </c>
      <c r="AL77" s="236" t="s">
        <v>111</v>
      </c>
      <c r="AM77" s="301" t="s">
        <v>411</v>
      </c>
      <c r="AN77" s="303"/>
      <c r="AO77" s="294">
        <v>0</v>
      </c>
      <c r="AP77" s="221">
        <v>0</v>
      </c>
      <c r="AQ77" s="295">
        <v>0</v>
      </c>
      <c r="AR77" s="220" t="s">
        <v>429</v>
      </c>
    </row>
    <row r="78" spans="1:44" s="19" customFormat="1" ht="165" x14ac:dyDescent="0.25">
      <c r="A78" s="262" t="s">
        <v>405</v>
      </c>
      <c r="B78" s="244" t="s">
        <v>147</v>
      </c>
      <c r="C78" s="244"/>
      <c r="D78" s="245" t="s">
        <v>148</v>
      </c>
      <c r="E78" s="245" t="s">
        <v>101</v>
      </c>
      <c r="F78" s="247" t="s">
        <v>149</v>
      </c>
      <c r="G78" s="247" t="s">
        <v>103</v>
      </c>
      <c r="H78" s="247" t="s">
        <v>168</v>
      </c>
      <c r="I78" s="248" t="s">
        <v>430</v>
      </c>
      <c r="J78" s="248" t="s">
        <v>170</v>
      </c>
      <c r="K78" s="248" t="s">
        <v>431</v>
      </c>
      <c r="L78" s="247"/>
      <c r="M78" s="247"/>
      <c r="N78" s="247"/>
      <c r="O78" s="245" t="s">
        <v>145</v>
      </c>
      <c r="P78" s="228">
        <f t="shared" si="7"/>
        <v>0</v>
      </c>
      <c r="Q78" s="229">
        <f t="shared" si="2"/>
        <v>0</v>
      </c>
      <c r="R78" s="230">
        <f t="shared" si="8"/>
        <v>0</v>
      </c>
      <c r="S78" s="230">
        <f t="shared" si="9"/>
        <v>0</v>
      </c>
      <c r="T78" s="230">
        <f t="shared" si="10"/>
        <v>0</v>
      </c>
      <c r="U78" s="231">
        <f t="shared" si="11"/>
        <v>0</v>
      </c>
      <c r="V78" s="321"/>
      <c r="W78" s="320"/>
      <c r="X78" s="250"/>
      <c r="Y78" s="321"/>
      <c r="Z78" s="320"/>
      <c r="AA78" s="252"/>
      <c r="AB78" s="469"/>
      <c r="AC78" s="470"/>
      <c r="AD78" s="471"/>
      <c r="AE78" s="472"/>
      <c r="AF78" s="470"/>
      <c r="AG78" s="471"/>
      <c r="AH78" s="472"/>
      <c r="AI78" s="470"/>
      <c r="AJ78" s="471"/>
      <c r="AK78" s="253" t="s">
        <v>156</v>
      </c>
      <c r="AL78" s="236" t="s">
        <v>401</v>
      </c>
      <c r="AM78" s="301" t="s">
        <v>411</v>
      </c>
      <c r="AN78" s="303"/>
      <c r="AO78" s="294">
        <v>0</v>
      </c>
      <c r="AP78" s="221">
        <v>0</v>
      </c>
      <c r="AQ78" s="295">
        <v>0</v>
      </c>
      <c r="AR78" s="220" t="s">
        <v>432</v>
      </c>
    </row>
    <row r="79" spans="1:44" s="19" customFormat="1" ht="105" x14ac:dyDescent="0.25">
      <c r="A79" s="262" t="s">
        <v>405</v>
      </c>
      <c r="B79" s="244" t="s">
        <v>147</v>
      </c>
      <c r="C79" s="244"/>
      <c r="D79" s="245" t="s">
        <v>148</v>
      </c>
      <c r="E79" s="245" t="s">
        <v>101</v>
      </c>
      <c r="F79" s="247" t="s">
        <v>149</v>
      </c>
      <c r="G79" s="247" t="s">
        <v>103</v>
      </c>
      <c r="H79" s="247" t="s">
        <v>168</v>
      </c>
      <c r="I79" s="248" t="s">
        <v>433</v>
      </c>
      <c r="J79" s="248" t="s">
        <v>170</v>
      </c>
      <c r="K79" s="248" t="s">
        <v>434</v>
      </c>
      <c r="L79" s="247"/>
      <c r="M79" s="247"/>
      <c r="N79" s="247"/>
      <c r="O79" s="245" t="s">
        <v>145</v>
      </c>
      <c r="P79" s="228">
        <f t="shared" si="7"/>
        <v>0</v>
      </c>
      <c r="Q79" s="229">
        <f t="shared" si="2"/>
        <v>0</v>
      </c>
      <c r="R79" s="230">
        <f t="shared" si="8"/>
        <v>0</v>
      </c>
      <c r="S79" s="230">
        <f t="shared" si="9"/>
        <v>0</v>
      </c>
      <c r="T79" s="230">
        <f t="shared" si="10"/>
        <v>0</v>
      </c>
      <c r="U79" s="231">
        <f t="shared" si="11"/>
        <v>0</v>
      </c>
      <c r="V79" s="321"/>
      <c r="W79" s="320"/>
      <c r="X79" s="250"/>
      <c r="Y79" s="321"/>
      <c r="Z79" s="320"/>
      <c r="AA79" s="252"/>
      <c r="AB79" s="469"/>
      <c r="AC79" s="470"/>
      <c r="AD79" s="471"/>
      <c r="AE79" s="472"/>
      <c r="AF79" s="470"/>
      <c r="AG79" s="471"/>
      <c r="AH79" s="472"/>
      <c r="AI79" s="470"/>
      <c r="AJ79" s="471"/>
      <c r="AK79" s="253" t="s">
        <v>156</v>
      </c>
      <c r="AL79" s="236" t="s">
        <v>142</v>
      </c>
      <c r="AM79" s="301" t="s">
        <v>411</v>
      </c>
      <c r="AN79" s="303"/>
      <c r="AO79" s="294"/>
      <c r="AP79" s="221"/>
      <c r="AQ79" s="295"/>
      <c r="AR79" s="220" t="s">
        <v>435</v>
      </c>
    </row>
    <row r="80" spans="1:44" s="19" customFormat="1" ht="105" x14ac:dyDescent="0.25">
      <c r="A80" s="262" t="s">
        <v>405</v>
      </c>
      <c r="B80" s="244" t="s">
        <v>147</v>
      </c>
      <c r="C80" s="244"/>
      <c r="D80" s="245" t="s">
        <v>148</v>
      </c>
      <c r="E80" s="245" t="s">
        <v>101</v>
      </c>
      <c r="F80" s="247" t="s">
        <v>284</v>
      </c>
      <c r="G80" s="247" t="s">
        <v>103</v>
      </c>
      <c r="H80" s="247" t="s">
        <v>168</v>
      </c>
      <c r="I80" s="248" t="s">
        <v>426</v>
      </c>
      <c r="J80" s="248" t="s">
        <v>170</v>
      </c>
      <c r="K80" s="248" t="s">
        <v>436</v>
      </c>
      <c r="L80" s="247"/>
      <c r="M80" s="247"/>
      <c r="N80" s="247"/>
      <c r="O80" s="245" t="s">
        <v>258</v>
      </c>
      <c r="P80" s="228">
        <f t="shared" si="7"/>
        <v>276353</v>
      </c>
      <c r="Q80" s="229">
        <f t="shared" si="2"/>
        <v>0</v>
      </c>
      <c r="R80" s="230">
        <f t="shared" si="8"/>
        <v>0</v>
      </c>
      <c r="S80" s="230">
        <f t="shared" si="9"/>
        <v>77625</v>
      </c>
      <c r="T80" s="230">
        <f t="shared" si="10"/>
        <v>79327</v>
      </c>
      <c r="U80" s="231">
        <f t="shared" si="11"/>
        <v>119401</v>
      </c>
      <c r="V80" s="321"/>
      <c r="W80" s="320"/>
      <c r="X80" s="250"/>
      <c r="Y80" s="321"/>
      <c r="Z80" s="320"/>
      <c r="AA80" s="252"/>
      <c r="AB80" s="469"/>
      <c r="AC80" s="470">
        <v>15625</v>
      </c>
      <c r="AD80" s="471">
        <v>62000</v>
      </c>
      <c r="AE80" s="472"/>
      <c r="AF80" s="470">
        <v>16327</v>
      </c>
      <c r="AG80" s="471">
        <v>63000</v>
      </c>
      <c r="AH80" s="472"/>
      <c r="AI80" s="470">
        <v>17001</v>
      </c>
      <c r="AJ80" s="471">
        <v>102400</v>
      </c>
      <c r="AK80" s="253" t="s">
        <v>179</v>
      </c>
      <c r="AL80" s="236" t="s">
        <v>142</v>
      </c>
      <c r="AM80" s="301" t="s">
        <v>411</v>
      </c>
      <c r="AN80" s="303"/>
      <c r="AO80" s="294">
        <v>0</v>
      </c>
      <c r="AP80" s="221">
        <v>0</v>
      </c>
      <c r="AQ80" s="295">
        <v>0</v>
      </c>
      <c r="AR80" s="220" t="s">
        <v>415</v>
      </c>
    </row>
    <row r="81" spans="1:44" s="19" customFormat="1" ht="105" x14ac:dyDescent="0.25">
      <c r="A81" s="262" t="s">
        <v>405</v>
      </c>
      <c r="B81" s="244" t="s">
        <v>147</v>
      </c>
      <c r="C81" s="244"/>
      <c r="D81" s="245" t="s">
        <v>148</v>
      </c>
      <c r="E81" s="245" t="s">
        <v>101</v>
      </c>
      <c r="F81" s="247" t="s">
        <v>163</v>
      </c>
      <c r="G81" s="247" t="s">
        <v>103</v>
      </c>
      <c r="H81" s="247" t="s">
        <v>174</v>
      </c>
      <c r="I81" s="248" t="s">
        <v>437</v>
      </c>
      <c r="J81" s="248" t="s">
        <v>176</v>
      </c>
      <c r="K81" s="248" t="s">
        <v>438</v>
      </c>
      <c r="L81" s="247"/>
      <c r="M81" s="247"/>
      <c r="N81" s="247"/>
      <c r="O81" s="245" t="s">
        <v>283</v>
      </c>
      <c r="P81" s="228">
        <f t="shared" ref="P81:P118" si="12">SUM(Q81:U81)</f>
        <v>49823</v>
      </c>
      <c r="Q81" s="229">
        <f t="shared" ref="Q81:Q118" si="13">SUM(V81:X81)</f>
        <v>49823</v>
      </c>
      <c r="R81" s="230">
        <f t="shared" ref="R81:R118" si="14">SUM(Y81:AA81)</f>
        <v>0</v>
      </c>
      <c r="S81" s="230">
        <f t="shared" ref="S81:S118" si="15">SUM(AB81:AD81)</f>
        <v>0</v>
      </c>
      <c r="T81" s="230">
        <f t="shared" ref="T81:T118" si="16">SUM(AE81:AG81)</f>
        <v>0</v>
      </c>
      <c r="U81" s="231">
        <f t="shared" ref="U81:U118" si="17">SUM(AH81:AJ81)</f>
        <v>0</v>
      </c>
      <c r="V81" s="321">
        <v>49823</v>
      </c>
      <c r="W81" s="320"/>
      <c r="X81" s="250"/>
      <c r="Y81" s="321"/>
      <c r="Z81" s="320"/>
      <c r="AA81" s="252"/>
      <c r="AB81" s="469"/>
      <c r="AC81" s="470"/>
      <c r="AD81" s="471"/>
      <c r="AE81" s="472"/>
      <c r="AF81" s="470"/>
      <c r="AG81" s="471"/>
      <c r="AH81" s="472"/>
      <c r="AI81" s="470"/>
      <c r="AJ81" s="471"/>
      <c r="AK81" s="253" t="s">
        <v>179</v>
      </c>
      <c r="AL81" s="236" t="s">
        <v>142</v>
      </c>
      <c r="AM81" s="301" t="s">
        <v>411</v>
      </c>
      <c r="AN81" s="303"/>
      <c r="AO81" s="294">
        <v>49823</v>
      </c>
      <c r="AP81" s="221"/>
      <c r="AQ81" s="295"/>
      <c r="AR81" s="220" t="s">
        <v>439</v>
      </c>
    </row>
    <row r="82" spans="1:44" s="19" customFormat="1" ht="105" x14ac:dyDescent="0.25">
      <c r="A82" s="262" t="s">
        <v>405</v>
      </c>
      <c r="B82" s="244" t="s">
        <v>147</v>
      </c>
      <c r="C82" s="244"/>
      <c r="D82" s="245" t="s">
        <v>148</v>
      </c>
      <c r="E82" s="245" t="s">
        <v>101</v>
      </c>
      <c r="F82" s="247" t="s">
        <v>163</v>
      </c>
      <c r="G82" s="247" t="s">
        <v>103</v>
      </c>
      <c r="H82" s="247" t="s">
        <v>174</v>
      </c>
      <c r="I82" s="248" t="s">
        <v>175</v>
      </c>
      <c r="J82" s="248" t="s">
        <v>176</v>
      </c>
      <c r="K82" s="248" t="s">
        <v>440</v>
      </c>
      <c r="L82" s="247"/>
      <c r="M82" s="247"/>
      <c r="N82" s="247" t="s">
        <v>160</v>
      </c>
      <c r="O82" s="245" t="s">
        <v>109</v>
      </c>
      <c r="P82" s="228">
        <f t="shared" si="12"/>
        <v>1735554</v>
      </c>
      <c r="Q82" s="229">
        <f t="shared" si="13"/>
        <v>128000</v>
      </c>
      <c r="R82" s="230">
        <f t="shared" si="14"/>
        <v>667479</v>
      </c>
      <c r="S82" s="230">
        <f t="shared" si="15"/>
        <v>534780</v>
      </c>
      <c r="T82" s="230">
        <f t="shared" si="16"/>
        <v>405295</v>
      </c>
      <c r="U82" s="231">
        <f t="shared" si="17"/>
        <v>0</v>
      </c>
      <c r="V82" s="321">
        <v>128000</v>
      </c>
      <c r="W82" s="320">
        <v>0</v>
      </c>
      <c r="X82" s="250">
        <v>0</v>
      </c>
      <c r="Y82" s="321">
        <v>610000</v>
      </c>
      <c r="Z82" s="320">
        <v>57479</v>
      </c>
      <c r="AA82" s="252">
        <v>0</v>
      </c>
      <c r="AB82" s="469">
        <v>464200</v>
      </c>
      <c r="AC82" s="470">
        <v>70580</v>
      </c>
      <c r="AD82" s="471">
        <v>0</v>
      </c>
      <c r="AE82" s="472">
        <v>331540</v>
      </c>
      <c r="AF82" s="470">
        <v>73755</v>
      </c>
      <c r="AG82" s="471">
        <v>0</v>
      </c>
      <c r="AH82" s="472"/>
      <c r="AI82" s="470"/>
      <c r="AJ82" s="471">
        <v>0</v>
      </c>
      <c r="AK82" s="253" t="s">
        <v>179</v>
      </c>
      <c r="AL82" s="236" t="s">
        <v>111</v>
      </c>
      <c r="AM82" s="301" t="s">
        <v>411</v>
      </c>
      <c r="AN82" s="303"/>
      <c r="AO82" s="294">
        <v>0</v>
      </c>
      <c r="AP82" s="221">
        <v>0</v>
      </c>
      <c r="AQ82" s="295">
        <v>0</v>
      </c>
      <c r="AR82" s="220" t="s">
        <v>417</v>
      </c>
    </row>
    <row r="83" spans="1:44" s="19" customFormat="1" ht="105" x14ac:dyDescent="0.25">
      <c r="A83" s="262" t="s">
        <v>405</v>
      </c>
      <c r="B83" s="244" t="s">
        <v>147</v>
      </c>
      <c r="C83" s="244"/>
      <c r="D83" s="245" t="s">
        <v>148</v>
      </c>
      <c r="E83" s="245" t="s">
        <v>101</v>
      </c>
      <c r="F83" s="247" t="s">
        <v>163</v>
      </c>
      <c r="G83" s="247" t="s">
        <v>103</v>
      </c>
      <c r="H83" s="247" t="s">
        <v>174</v>
      </c>
      <c r="I83" s="248" t="s">
        <v>441</v>
      </c>
      <c r="J83" s="248" t="s">
        <v>176</v>
      </c>
      <c r="K83" s="248"/>
      <c r="L83" s="247"/>
      <c r="M83" s="247"/>
      <c r="N83" s="247"/>
      <c r="O83" s="245" t="s">
        <v>258</v>
      </c>
      <c r="P83" s="228">
        <f t="shared" si="12"/>
        <v>73123</v>
      </c>
      <c r="Q83" s="229">
        <f t="shared" si="13"/>
        <v>0</v>
      </c>
      <c r="R83" s="230">
        <f t="shared" si="14"/>
        <v>0</v>
      </c>
      <c r="S83" s="230">
        <f t="shared" si="15"/>
        <v>0</v>
      </c>
      <c r="T83" s="230">
        <f t="shared" si="16"/>
        <v>0</v>
      </c>
      <c r="U83" s="231">
        <f t="shared" si="17"/>
        <v>73123</v>
      </c>
      <c r="V83" s="321"/>
      <c r="W83" s="320"/>
      <c r="X83" s="250"/>
      <c r="Y83" s="321"/>
      <c r="Z83" s="320"/>
      <c r="AA83" s="252"/>
      <c r="AB83" s="469"/>
      <c r="AC83" s="470"/>
      <c r="AD83" s="471"/>
      <c r="AE83" s="472"/>
      <c r="AF83" s="470"/>
      <c r="AG83" s="471"/>
      <c r="AH83" s="472">
        <v>58300</v>
      </c>
      <c r="AI83" s="470">
        <v>14823</v>
      </c>
      <c r="AJ83" s="471"/>
      <c r="AK83" s="253" t="s">
        <v>179</v>
      </c>
      <c r="AL83" s="236" t="s">
        <v>401</v>
      </c>
      <c r="AM83" s="301" t="s">
        <v>411</v>
      </c>
      <c r="AN83" s="303"/>
      <c r="AO83" s="294">
        <v>0</v>
      </c>
      <c r="AP83" s="221">
        <v>0</v>
      </c>
      <c r="AQ83" s="295">
        <v>0</v>
      </c>
      <c r="AR83" s="220" t="s">
        <v>415</v>
      </c>
    </row>
    <row r="84" spans="1:44" s="19" customFormat="1" ht="105" x14ac:dyDescent="0.25">
      <c r="A84" s="262" t="s">
        <v>405</v>
      </c>
      <c r="B84" s="244" t="s">
        <v>147</v>
      </c>
      <c r="C84" s="244"/>
      <c r="D84" s="245" t="s">
        <v>148</v>
      </c>
      <c r="E84" s="245" t="s">
        <v>101</v>
      </c>
      <c r="F84" s="247" t="s">
        <v>163</v>
      </c>
      <c r="G84" s="247" t="s">
        <v>103</v>
      </c>
      <c r="H84" s="247" t="s">
        <v>174</v>
      </c>
      <c r="I84" s="248" t="s">
        <v>442</v>
      </c>
      <c r="J84" s="248" t="s">
        <v>176</v>
      </c>
      <c r="K84" s="248" t="s">
        <v>443</v>
      </c>
      <c r="L84" s="247"/>
      <c r="M84" s="247"/>
      <c r="N84" s="247"/>
      <c r="O84" s="245" t="s">
        <v>258</v>
      </c>
      <c r="P84" s="228">
        <f t="shared" si="12"/>
        <v>15000</v>
      </c>
      <c r="Q84" s="229">
        <f t="shared" si="13"/>
        <v>0</v>
      </c>
      <c r="R84" s="230">
        <f t="shared" si="14"/>
        <v>0</v>
      </c>
      <c r="S84" s="230">
        <f t="shared" si="15"/>
        <v>5000</v>
      </c>
      <c r="T84" s="230">
        <f t="shared" si="16"/>
        <v>5000</v>
      </c>
      <c r="U84" s="231">
        <f t="shared" si="17"/>
        <v>5000</v>
      </c>
      <c r="V84" s="321"/>
      <c r="W84" s="320"/>
      <c r="X84" s="250"/>
      <c r="Y84" s="321"/>
      <c r="Z84" s="320"/>
      <c r="AA84" s="252"/>
      <c r="AB84" s="469">
        <v>5000</v>
      </c>
      <c r="AC84" s="470"/>
      <c r="AD84" s="471"/>
      <c r="AE84" s="472">
        <v>5000</v>
      </c>
      <c r="AF84" s="470"/>
      <c r="AG84" s="471"/>
      <c r="AH84" s="472">
        <v>5000</v>
      </c>
      <c r="AI84" s="470"/>
      <c r="AJ84" s="471"/>
      <c r="AK84" s="253" t="s">
        <v>187</v>
      </c>
      <c r="AL84" s="236" t="s">
        <v>111</v>
      </c>
      <c r="AM84" s="301" t="s">
        <v>411</v>
      </c>
      <c r="AN84" s="303"/>
      <c r="AO84" s="294">
        <v>0</v>
      </c>
      <c r="AP84" s="221">
        <v>0</v>
      </c>
      <c r="AQ84" s="295">
        <v>0</v>
      </c>
      <c r="AR84" s="220" t="s">
        <v>415</v>
      </c>
    </row>
    <row r="85" spans="1:44" s="19" customFormat="1" ht="105" x14ac:dyDescent="0.25">
      <c r="A85" s="262" t="s">
        <v>405</v>
      </c>
      <c r="B85" s="244" t="s">
        <v>147</v>
      </c>
      <c r="C85" s="244"/>
      <c r="D85" s="245" t="s">
        <v>148</v>
      </c>
      <c r="E85" s="245" t="s">
        <v>101</v>
      </c>
      <c r="F85" s="247" t="s">
        <v>163</v>
      </c>
      <c r="G85" s="247" t="s">
        <v>103</v>
      </c>
      <c r="H85" s="247" t="s">
        <v>174</v>
      </c>
      <c r="I85" s="248" t="s">
        <v>423</v>
      </c>
      <c r="J85" s="248" t="s">
        <v>176</v>
      </c>
      <c r="K85" s="248" t="s">
        <v>444</v>
      </c>
      <c r="L85" s="247"/>
      <c r="M85" s="247"/>
      <c r="N85" s="247"/>
      <c r="O85" s="245" t="s">
        <v>145</v>
      </c>
      <c r="P85" s="228">
        <f t="shared" si="12"/>
        <v>0</v>
      </c>
      <c r="Q85" s="229">
        <f t="shared" si="13"/>
        <v>0</v>
      </c>
      <c r="R85" s="230">
        <f t="shared" si="14"/>
        <v>0</v>
      </c>
      <c r="S85" s="230">
        <f t="shared" si="15"/>
        <v>0</v>
      </c>
      <c r="T85" s="230">
        <f t="shared" si="16"/>
        <v>0</v>
      </c>
      <c r="U85" s="231">
        <f t="shared" si="17"/>
        <v>0</v>
      </c>
      <c r="V85" s="321"/>
      <c r="W85" s="320"/>
      <c r="X85" s="250"/>
      <c r="Y85" s="321"/>
      <c r="Z85" s="320"/>
      <c r="AA85" s="252"/>
      <c r="AB85" s="469"/>
      <c r="AC85" s="470"/>
      <c r="AD85" s="471"/>
      <c r="AE85" s="472"/>
      <c r="AF85" s="470"/>
      <c r="AG85" s="471"/>
      <c r="AH85" s="472"/>
      <c r="AI85" s="470"/>
      <c r="AJ85" s="471"/>
      <c r="AK85" s="253" t="s">
        <v>187</v>
      </c>
      <c r="AL85" s="236" t="s">
        <v>142</v>
      </c>
      <c r="AM85" s="301" t="s">
        <v>411</v>
      </c>
      <c r="AN85" s="303"/>
      <c r="AO85" s="294"/>
      <c r="AP85" s="221"/>
      <c r="AQ85" s="295"/>
      <c r="AR85" s="220" t="s">
        <v>445</v>
      </c>
    </row>
    <row r="86" spans="1:44" s="19" customFormat="1" ht="105" x14ac:dyDescent="0.25">
      <c r="A86" s="262" t="s">
        <v>405</v>
      </c>
      <c r="B86" s="244" t="s">
        <v>147</v>
      </c>
      <c r="C86" s="244"/>
      <c r="D86" s="245" t="s">
        <v>148</v>
      </c>
      <c r="E86" s="245" t="s">
        <v>101</v>
      </c>
      <c r="F86" s="247" t="s">
        <v>163</v>
      </c>
      <c r="G86" s="247" t="s">
        <v>103</v>
      </c>
      <c r="H86" s="247" t="s">
        <v>174</v>
      </c>
      <c r="I86" s="248" t="s">
        <v>426</v>
      </c>
      <c r="J86" s="248" t="s">
        <v>176</v>
      </c>
      <c r="K86" s="248"/>
      <c r="L86" s="247"/>
      <c r="M86" s="247"/>
      <c r="N86" s="247"/>
      <c r="O86" s="245" t="s">
        <v>258</v>
      </c>
      <c r="P86" s="228">
        <f t="shared" si="12"/>
        <v>181866</v>
      </c>
      <c r="Q86" s="229">
        <f t="shared" si="13"/>
        <v>0</v>
      </c>
      <c r="R86" s="230">
        <f t="shared" si="14"/>
        <v>0</v>
      </c>
      <c r="S86" s="230">
        <f t="shared" si="15"/>
        <v>0</v>
      </c>
      <c r="T86" s="230">
        <f t="shared" si="16"/>
        <v>79152</v>
      </c>
      <c r="U86" s="231">
        <f t="shared" si="17"/>
        <v>102714</v>
      </c>
      <c r="V86" s="321"/>
      <c r="W86" s="320"/>
      <c r="X86" s="250"/>
      <c r="Y86" s="321"/>
      <c r="Z86" s="320"/>
      <c r="AA86" s="252"/>
      <c r="AB86" s="469"/>
      <c r="AC86" s="470"/>
      <c r="AD86" s="471"/>
      <c r="AE86" s="472"/>
      <c r="AF86" s="470">
        <v>27152</v>
      </c>
      <c r="AG86" s="471">
        <v>52000</v>
      </c>
      <c r="AH86" s="472"/>
      <c r="AI86" s="470">
        <v>33814</v>
      </c>
      <c r="AJ86" s="471">
        <v>68900</v>
      </c>
      <c r="AK86" s="253" t="s">
        <v>187</v>
      </c>
      <c r="AL86" s="236" t="s">
        <v>142</v>
      </c>
      <c r="AM86" s="301" t="s">
        <v>411</v>
      </c>
      <c r="AN86" s="303"/>
      <c r="AO86" s="294">
        <v>0</v>
      </c>
      <c r="AP86" s="221">
        <v>0</v>
      </c>
      <c r="AQ86" s="295">
        <v>0</v>
      </c>
      <c r="AR86" s="220" t="s">
        <v>415</v>
      </c>
    </row>
    <row r="87" spans="1:44" s="19" customFormat="1" ht="105" x14ac:dyDescent="0.25">
      <c r="A87" s="262" t="s">
        <v>405</v>
      </c>
      <c r="B87" s="244" t="s">
        <v>147</v>
      </c>
      <c r="C87" s="244"/>
      <c r="D87" s="245" t="s">
        <v>148</v>
      </c>
      <c r="E87" s="245" t="s">
        <v>101</v>
      </c>
      <c r="F87" s="247" t="s">
        <v>163</v>
      </c>
      <c r="G87" s="247" t="s">
        <v>103</v>
      </c>
      <c r="H87" s="247" t="s">
        <v>174</v>
      </c>
      <c r="I87" s="248" t="s">
        <v>446</v>
      </c>
      <c r="J87" s="248" t="s">
        <v>176</v>
      </c>
      <c r="K87" s="248"/>
      <c r="L87" s="247"/>
      <c r="M87" s="247"/>
      <c r="N87" s="247"/>
      <c r="O87" s="245" t="s">
        <v>258</v>
      </c>
      <c r="P87" s="228">
        <f t="shared" si="12"/>
        <v>70210</v>
      </c>
      <c r="Q87" s="229">
        <f t="shared" si="13"/>
        <v>0</v>
      </c>
      <c r="R87" s="230">
        <f t="shared" si="14"/>
        <v>0</v>
      </c>
      <c r="S87" s="230">
        <f t="shared" si="15"/>
        <v>0</v>
      </c>
      <c r="T87" s="230">
        <f t="shared" si="16"/>
        <v>0</v>
      </c>
      <c r="U87" s="231">
        <f t="shared" si="17"/>
        <v>70210</v>
      </c>
      <c r="V87" s="321"/>
      <c r="W87" s="320"/>
      <c r="X87" s="250"/>
      <c r="Y87" s="321"/>
      <c r="Z87" s="320"/>
      <c r="AA87" s="252"/>
      <c r="AB87" s="469"/>
      <c r="AC87" s="470"/>
      <c r="AD87" s="471"/>
      <c r="AE87" s="472"/>
      <c r="AF87" s="470"/>
      <c r="AG87" s="471"/>
      <c r="AH87" s="472">
        <v>60800</v>
      </c>
      <c r="AI87" s="470">
        <v>9410</v>
      </c>
      <c r="AJ87" s="471"/>
      <c r="AK87" s="253" t="s">
        <v>447</v>
      </c>
      <c r="AL87" s="236" t="s">
        <v>111</v>
      </c>
      <c r="AM87" s="301" t="s">
        <v>411</v>
      </c>
      <c r="AN87" s="303"/>
      <c r="AO87" s="294">
        <v>0</v>
      </c>
      <c r="AP87" s="221">
        <v>0</v>
      </c>
      <c r="AQ87" s="295">
        <v>0</v>
      </c>
      <c r="AR87" s="220" t="s">
        <v>415</v>
      </c>
    </row>
    <row r="88" spans="1:44" s="19" customFormat="1" ht="330" x14ac:dyDescent="0.25">
      <c r="A88" s="262" t="s">
        <v>448</v>
      </c>
      <c r="B88" s="244" t="s">
        <v>180</v>
      </c>
      <c r="C88" s="244"/>
      <c r="D88" s="245" t="s">
        <v>181</v>
      </c>
      <c r="E88" s="245" t="s">
        <v>101</v>
      </c>
      <c r="F88" s="247" t="s">
        <v>149</v>
      </c>
      <c r="G88" s="247" t="s">
        <v>103</v>
      </c>
      <c r="H88" s="247" t="s">
        <v>182</v>
      </c>
      <c r="I88" s="248" t="s">
        <v>183</v>
      </c>
      <c r="J88" s="248" t="s">
        <v>449</v>
      </c>
      <c r="K88" s="248" t="s">
        <v>450</v>
      </c>
      <c r="L88" s="247"/>
      <c r="M88" s="247"/>
      <c r="N88" s="247" t="s">
        <v>451</v>
      </c>
      <c r="O88" s="245" t="s">
        <v>145</v>
      </c>
      <c r="P88" s="228">
        <f t="shared" si="12"/>
        <v>100000</v>
      </c>
      <c r="Q88" s="229">
        <f t="shared" si="13"/>
        <v>100000</v>
      </c>
      <c r="R88" s="230">
        <f t="shared" si="14"/>
        <v>0</v>
      </c>
      <c r="S88" s="230">
        <f t="shared" si="15"/>
        <v>0</v>
      </c>
      <c r="T88" s="230">
        <f t="shared" si="16"/>
        <v>0</v>
      </c>
      <c r="U88" s="231">
        <f t="shared" si="17"/>
        <v>0</v>
      </c>
      <c r="V88" s="321">
        <v>100000</v>
      </c>
      <c r="W88" s="320"/>
      <c r="X88" s="250"/>
      <c r="Y88" s="321"/>
      <c r="Z88" s="320"/>
      <c r="AA88" s="252"/>
      <c r="AB88" s="469"/>
      <c r="AC88" s="470"/>
      <c r="AD88" s="471"/>
      <c r="AE88" s="472"/>
      <c r="AF88" s="470"/>
      <c r="AG88" s="471"/>
      <c r="AH88" s="472"/>
      <c r="AI88" s="470"/>
      <c r="AJ88" s="471"/>
      <c r="AK88" s="253" t="s">
        <v>187</v>
      </c>
      <c r="AL88" s="236" t="s">
        <v>111</v>
      </c>
      <c r="AM88" s="301" t="s">
        <v>411</v>
      </c>
      <c r="AN88" s="303"/>
      <c r="AO88" s="294">
        <v>0</v>
      </c>
      <c r="AP88" s="221">
        <v>0</v>
      </c>
      <c r="AQ88" s="295">
        <v>0</v>
      </c>
      <c r="AR88" s="220" t="s">
        <v>452</v>
      </c>
    </row>
    <row r="89" spans="1:44" s="19" customFormat="1" ht="300" x14ac:dyDescent="0.25">
      <c r="A89" s="262" t="s">
        <v>448</v>
      </c>
      <c r="B89" s="244" t="s">
        <v>180</v>
      </c>
      <c r="C89" s="244"/>
      <c r="D89" s="245" t="s">
        <v>181</v>
      </c>
      <c r="E89" s="245" t="s">
        <v>101</v>
      </c>
      <c r="F89" s="247" t="s">
        <v>149</v>
      </c>
      <c r="G89" s="247" t="s">
        <v>103</v>
      </c>
      <c r="H89" s="247" t="s">
        <v>182</v>
      </c>
      <c r="I89" s="248" t="s">
        <v>183</v>
      </c>
      <c r="J89" s="248" t="s">
        <v>184</v>
      </c>
      <c r="K89" s="248" t="s">
        <v>453</v>
      </c>
      <c r="L89" s="247"/>
      <c r="M89" s="247"/>
      <c r="N89" s="247"/>
      <c r="O89" s="245" t="s">
        <v>109</v>
      </c>
      <c r="P89" s="228">
        <f t="shared" si="12"/>
        <v>844973</v>
      </c>
      <c r="Q89" s="229">
        <f t="shared" si="13"/>
        <v>0</v>
      </c>
      <c r="R89" s="230">
        <f t="shared" si="14"/>
        <v>233154</v>
      </c>
      <c r="S89" s="230">
        <f t="shared" si="15"/>
        <v>260805</v>
      </c>
      <c r="T89" s="230">
        <f t="shared" si="16"/>
        <v>267030</v>
      </c>
      <c r="U89" s="231">
        <f t="shared" si="17"/>
        <v>83984</v>
      </c>
      <c r="V89" s="321"/>
      <c r="W89" s="320"/>
      <c r="X89" s="250"/>
      <c r="Y89" s="321">
        <v>183000</v>
      </c>
      <c r="Z89" s="320">
        <v>50154</v>
      </c>
      <c r="AA89" s="252"/>
      <c r="AB89" s="469">
        <v>186000</v>
      </c>
      <c r="AC89" s="470">
        <v>74805</v>
      </c>
      <c r="AD89" s="471"/>
      <c r="AE89" s="472">
        <v>202160</v>
      </c>
      <c r="AF89" s="470">
        <v>64870</v>
      </c>
      <c r="AG89" s="471"/>
      <c r="AH89" s="472">
        <v>50350</v>
      </c>
      <c r="AI89" s="470">
        <v>33634</v>
      </c>
      <c r="AJ89" s="471"/>
      <c r="AK89" s="253" t="s">
        <v>187</v>
      </c>
      <c r="AL89" s="236" t="s">
        <v>401</v>
      </c>
      <c r="AM89" s="301" t="s">
        <v>411</v>
      </c>
      <c r="AN89" s="303"/>
      <c r="AO89" s="294">
        <v>0</v>
      </c>
      <c r="AP89" s="221">
        <v>0</v>
      </c>
      <c r="AQ89" s="295">
        <v>0</v>
      </c>
      <c r="AR89" s="220" t="s">
        <v>454</v>
      </c>
    </row>
    <row r="90" spans="1:44" s="19" customFormat="1" ht="105" x14ac:dyDescent="0.25">
      <c r="A90" s="262" t="s">
        <v>448</v>
      </c>
      <c r="B90" s="244" t="s">
        <v>180</v>
      </c>
      <c r="C90" s="244"/>
      <c r="D90" s="245" t="s">
        <v>181</v>
      </c>
      <c r="E90" s="245" t="s">
        <v>101</v>
      </c>
      <c r="F90" s="247" t="s">
        <v>149</v>
      </c>
      <c r="G90" s="247" t="s">
        <v>103</v>
      </c>
      <c r="H90" s="247" t="s">
        <v>182</v>
      </c>
      <c r="I90" s="248" t="s">
        <v>455</v>
      </c>
      <c r="J90" s="248" t="s">
        <v>456</v>
      </c>
      <c r="K90" s="248" t="s">
        <v>457</v>
      </c>
      <c r="L90" s="247"/>
      <c r="M90" s="247"/>
      <c r="N90" s="247"/>
      <c r="O90" s="245" t="s">
        <v>258</v>
      </c>
      <c r="P90" s="228">
        <f t="shared" si="12"/>
        <v>260000</v>
      </c>
      <c r="Q90" s="229">
        <f t="shared" si="13"/>
        <v>0</v>
      </c>
      <c r="R90" s="230">
        <f t="shared" si="14"/>
        <v>0</v>
      </c>
      <c r="S90" s="230">
        <f t="shared" si="15"/>
        <v>60000</v>
      </c>
      <c r="T90" s="230">
        <f t="shared" si="16"/>
        <v>90000</v>
      </c>
      <c r="U90" s="231">
        <f t="shared" si="17"/>
        <v>110000</v>
      </c>
      <c r="V90" s="321"/>
      <c r="W90" s="320"/>
      <c r="X90" s="250"/>
      <c r="Y90" s="321"/>
      <c r="Z90" s="320"/>
      <c r="AA90" s="252"/>
      <c r="AB90" s="469"/>
      <c r="AC90" s="470">
        <v>20000</v>
      </c>
      <c r="AD90" s="471">
        <v>40000</v>
      </c>
      <c r="AE90" s="472"/>
      <c r="AF90" s="470">
        <v>30000</v>
      </c>
      <c r="AG90" s="471">
        <v>60000</v>
      </c>
      <c r="AH90" s="472"/>
      <c r="AI90" s="470">
        <v>40000</v>
      </c>
      <c r="AJ90" s="471">
        <v>70000</v>
      </c>
      <c r="AK90" s="253" t="s">
        <v>187</v>
      </c>
      <c r="AL90" s="236" t="s">
        <v>111</v>
      </c>
      <c r="AM90" s="301" t="s">
        <v>411</v>
      </c>
      <c r="AN90" s="303"/>
      <c r="AO90" s="294">
        <v>0</v>
      </c>
      <c r="AP90" s="221">
        <v>0</v>
      </c>
      <c r="AQ90" s="295">
        <v>0</v>
      </c>
      <c r="AR90" s="220" t="s">
        <v>415</v>
      </c>
    </row>
    <row r="91" spans="1:44" s="19" customFormat="1" ht="375" x14ac:dyDescent="0.25">
      <c r="A91" s="262" t="s">
        <v>458</v>
      </c>
      <c r="B91" s="244" t="s">
        <v>189</v>
      </c>
      <c r="C91" s="244"/>
      <c r="D91" s="245"/>
      <c r="E91" s="245" t="s">
        <v>101</v>
      </c>
      <c r="F91" s="247" t="s">
        <v>149</v>
      </c>
      <c r="G91" s="247" t="s">
        <v>103</v>
      </c>
      <c r="H91" s="247"/>
      <c r="I91" s="248" t="s">
        <v>191</v>
      </c>
      <c r="J91" s="248" t="s">
        <v>192</v>
      </c>
      <c r="K91" s="248" t="s">
        <v>459</v>
      </c>
      <c r="L91" s="247"/>
      <c r="M91" s="247"/>
      <c r="N91" s="247"/>
      <c r="O91" s="245" t="s">
        <v>109</v>
      </c>
      <c r="P91" s="228">
        <f t="shared" si="12"/>
        <v>552573</v>
      </c>
      <c r="Q91" s="229">
        <f t="shared" si="13"/>
        <v>73416</v>
      </c>
      <c r="R91" s="230">
        <f t="shared" si="14"/>
        <v>340894</v>
      </c>
      <c r="S91" s="230">
        <f t="shared" si="15"/>
        <v>124733</v>
      </c>
      <c r="T91" s="230">
        <f t="shared" si="16"/>
        <v>10240</v>
      </c>
      <c r="U91" s="231">
        <f t="shared" si="17"/>
        <v>3290</v>
      </c>
      <c r="V91" s="321">
        <v>36000</v>
      </c>
      <c r="W91" s="320">
        <v>37416</v>
      </c>
      <c r="X91" s="250"/>
      <c r="Y91" s="321">
        <v>217430</v>
      </c>
      <c r="Z91" s="320">
        <v>123464</v>
      </c>
      <c r="AA91" s="252"/>
      <c r="AB91" s="469">
        <v>97480</v>
      </c>
      <c r="AC91" s="470">
        <v>27253</v>
      </c>
      <c r="AD91" s="471"/>
      <c r="AE91" s="472">
        <v>10240</v>
      </c>
      <c r="AF91" s="470"/>
      <c r="AG91" s="471"/>
      <c r="AH91" s="472">
        <v>3290</v>
      </c>
      <c r="AI91" s="470"/>
      <c r="AJ91" s="471"/>
      <c r="AK91" s="253" t="s">
        <v>195</v>
      </c>
      <c r="AL91" s="236" t="s">
        <v>142</v>
      </c>
      <c r="AM91" s="301"/>
      <c r="AN91" s="303"/>
      <c r="AO91" s="294">
        <v>0</v>
      </c>
      <c r="AP91" s="221">
        <v>0</v>
      </c>
      <c r="AQ91" s="295">
        <v>0</v>
      </c>
      <c r="AR91" s="220" t="s">
        <v>460</v>
      </c>
    </row>
    <row r="92" spans="1:44" s="19" customFormat="1" ht="75" x14ac:dyDescent="0.25">
      <c r="A92" s="262" t="s">
        <v>458</v>
      </c>
      <c r="B92" s="244" t="s">
        <v>189</v>
      </c>
      <c r="C92" s="244"/>
      <c r="D92" s="245"/>
      <c r="E92" s="245" t="s">
        <v>101</v>
      </c>
      <c r="F92" s="247" t="s">
        <v>149</v>
      </c>
      <c r="G92" s="247"/>
      <c r="H92" s="247"/>
      <c r="I92" s="248" t="s">
        <v>461</v>
      </c>
      <c r="J92" s="248" t="s">
        <v>462</v>
      </c>
      <c r="K92" s="248" t="s">
        <v>463</v>
      </c>
      <c r="L92" s="247"/>
      <c r="M92" s="247"/>
      <c r="N92" s="247"/>
      <c r="O92" s="245" t="s">
        <v>258</v>
      </c>
      <c r="P92" s="228">
        <f t="shared" si="12"/>
        <v>205313</v>
      </c>
      <c r="Q92" s="229">
        <f t="shared" si="13"/>
        <v>0</v>
      </c>
      <c r="R92" s="230">
        <f t="shared" si="14"/>
        <v>0</v>
      </c>
      <c r="S92" s="230">
        <f t="shared" si="15"/>
        <v>66619</v>
      </c>
      <c r="T92" s="230">
        <f t="shared" si="16"/>
        <v>68450</v>
      </c>
      <c r="U92" s="231">
        <f t="shared" si="17"/>
        <v>70244</v>
      </c>
      <c r="V92" s="321"/>
      <c r="W92" s="320"/>
      <c r="X92" s="250"/>
      <c r="Y92" s="321"/>
      <c r="Z92" s="320"/>
      <c r="AA92" s="252"/>
      <c r="AB92" s="469"/>
      <c r="AC92" s="470">
        <v>20719</v>
      </c>
      <c r="AD92" s="471">
        <v>45900</v>
      </c>
      <c r="AE92" s="472"/>
      <c r="AF92" s="470">
        <v>21650</v>
      </c>
      <c r="AG92" s="471">
        <v>46800</v>
      </c>
      <c r="AH92" s="472"/>
      <c r="AI92" s="470">
        <v>22544</v>
      </c>
      <c r="AJ92" s="471">
        <v>47700</v>
      </c>
      <c r="AK92" s="253" t="s">
        <v>464</v>
      </c>
      <c r="AL92" s="236" t="s">
        <v>111</v>
      </c>
      <c r="AM92" s="301"/>
      <c r="AN92" s="303"/>
      <c r="AO92" s="294">
        <v>0</v>
      </c>
      <c r="AP92" s="221">
        <v>0</v>
      </c>
      <c r="AQ92" s="295">
        <v>0</v>
      </c>
      <c r="AR92" s="220" t="s">
        <v>415</v>
      </c>
    </row>
    <row r="93" spans="1:44" s="19" customFormat="1" ht="195" x14ac:dyDescent="0.25">
      <c r="A93" s="262" t="s">
        <v>458</v>
      </c>
      <c r="B93" s="244" t="s">
        <v>189</v>
      </c>
      <c r="C93" s="244"/>
      <c r="D93" s="245"/>
      <c r="E93" s="245" t="s">
        <v>101</v>
      </c>
      <c r="F93" s="247" t="s">
        <v>149</v>
      </c>
      <c r="G93" s="247" t="s">
        <v>103</v>
      </c>
      <c r="H93" s="247"/>
      <c r="I93" s="248" t="s">
        <v>197</v>
      </c>
      <c r="J93" s="248" t="s">
        <v>198</v>
      </c>
      <c r="K93" s="248" t="s">
        <v>465</v>
      </c>
      <c r="L93" s="247"/>
      <c r="M93" s="247"/>
      <c r="N93" s="247"/>
      <c r="O93" s="245" t="s">
        <v>109</v>
      </c>
      <c r="P93" s="228">
        <f t="shared" si="12"/>
        <v>624691</v>
      </c>
      <c r="Q93" s="229">
        <f t="shared" si="13"/>
        <v>171767</v>
      </c>
      <c r="R93" s="230">
        <f t="shared" si="14"/>
        <v>301450</v>
      </c>
      <c r="S93" s="230">
        <f t="shared" si="15"/>
        <v>76374</v>
      </c>
      <c r="T93" s="230">
        <f t="shared" si="16"/>
        <v>37250</v>
      </c>
      <c r="U93" s="231">
        <f t="shared" si="17"/>
        <v>37850</v>
      </c>
      <c r="V93" s="321">
        <v>150000</v>
      </c>
      <c r="W93" s="320">
        <v>21767</v>
      </c>
      <c r="X93" s="250"/>
      <c r="Y93" s="321">
        <v>262650</v>
      </c>
      <c r="Z93" s="320">
        <v>38800</v>
      </c>
      <c r="AA93" s="252"/>
      <c r="AB93" s="469">
        <v>61086</v>
      </c>
      <c r="AC93" s="470">
        <v>15288</v>
      </c>
      <c r="AD93" s="471"/>
      <c r="AE93" s="472">
        <v>37250</v>
      </c>
      <c r="AF93" s="470"/>
      <c r="AG93" s="471"/>
      <c r="AH93" s="472">
        <v>37850</v>
      </c>
      <c r="AI93" s="470"/>
      <c r="AJ93" s="471"/>
      <c r="AK93" s="253" t="s">
        <v>464</v>
      </c>
      <c r="AL93" s="236" t="s">
        <v>142</v>
      </c>
      <c r="AM93" s="301"/>
      <c r="AN93" s="303"/>
      <c r="AO93" s="294">
        <v>0</v>
      </c>
      <c r="AP93" s="221">
        <v>0</v>
      </c>
      <c r="AQ93" s="295">
        <v>0</v>
      </c>
      <c r="AR93" s="220" t="s">
        <v>466</v>
      </c>
    </row>
    <row r="94" spans="1:44" s="19" customFormat="1" ht="150" x14ac:dyDescent="0.25">
      <c r="A94" s="262" t="s">
        <v>458</v>
      </c>
      <c r="B94" s="244" t="s">
        <v>189</v>
      </c>
      <c r="C94" s="244"/>
      <c r="D94" s="245"/>
      <c r="E94" s="245" t="s">
        <v>101</v>
      </c>
      <c r="F94" s="247"/>
      <c r="G94" s="247"/>
      <c r="H94" s="247"/>
      <c r="I94" s="248" t="s">
        <v>467</v>
      </c>
      <c r="J94" s="248" t="s">
        <v>468</v>
      </c>
      <c r="K94" s="248" t="s">
        <v>469</v>
      </c>
      <c r="L94" s="247"/>
      <c r="M94" s="247"/>
      <c r="N94" s="247"/>
      <c r="O94" s="245" t="s">
        <v>258</v>
      </c>
      <c r="P94" s="228">
        <f t="shared" si="12"/>
        <v>165969</v>
      </c>
      <c r="Q94" s="229">
        <f t="shared" si="13"/>
        <v>0</v>
      </c>
      <c r="R94" s="230">
        <f t="shared" si="14"/>
        <v>0</v>
      </c>
      <c r="S94" s="230">
        <f t="shared" si="15"/>
        <v>0</v>
      </c>
      <c r="T94" s="230">
        <f t="shared" si="16"/>
        <v>81919</v>
      </c>
      <c r="U94" s="231">
        <f t="shared" si="17"/>
        <v>84050</v>
      </c>
      <c r="V94" s="321"/>
      <c r="W94" s="320"/>
      <c r="X94" s="250"/>
      <c r="Y94" s="321"/>
      <c r="Z94" s="320"/>
      <c r="AA94" s="252"/>
      <c r="AB94" s="469"/>
      <c r="AC94" s="470"/>
      <c r="AD94" s="471"/>
      <c r="AE94" s="472"/>
      <c r="AF94" s="470">
        <v>20719</v>
      </c>
      <c r="AG94" s="471">
        <v>61200</v>
      </c>
      <c r="AH94" s="472"/>
      <c r="AI94" s="470">
        <v>21650</v>
      </c>
      <c r="AJ94" s="471">
        <v>62400</v>
      </c>
      <c r="AK94" s="253" t="s">
        <v>464</v>
      </c>
      <c r="AL94" s="236" t="s">
        <v>401</v>
      </c>
      <c r="AM94" s="301"/>
      <c r="AN94" s="303"/>
      <c r="AO94" s="294">
        <v>0</v>
      </c>
      <c r="AP94" s="221">
        <v>0</v>
      </c>
      <c r="AQ94" s="295">
        <v>0</v>
      </c>
      <c r="AR94" s="220" t="s">
        <v>415</v>
      </c>
    </row>
    <row r="95" spans="1:44" s="19" customFormat="1" ht="75" x14ac:dyDescent="0.25">
      <c r="A95" s="262" t="s">
        <v>470</v>
      </c>
      <c r="B95" s="244" t="s">
        <v>471</v>
      </c>
      <c r="C95" s="244"/>
      <c r="D95" s="245"/>
      <c r="E95" s="245" t="s">
        <v>101</v>
      </c>
      <c r="F95" s="247"/>
      <c r="G95" s="247"/>
      <c r="H95" s="247"/>
      <c r="I95" s="248" t="s">
        <v>472</v>
      </c>
      <c r="J95" s="248" t="s">
        <v>473</v>
      </c>
      <c r="K95" s="248"/>
      <c r="L95" s="247"/>
      <c r="M95" s="247"/>
      <c r="N95" s="247"/>
      <c r="O95" s="245" t="s">
        <v>258</v>
      </c>
      <c r="P95" s="228">
        <f t="shared" si="12"/>
        <v>68336344</v>
      </c>
      <c r="Q95" s="229">
        <f t="shared" si="13"/>
        <v>0</v>
      </c>
      <c r="R95" s="230">
        <f t="shared" si="14"/>
        <v>14347427</v>
      </c>
      <c r="S95" s="230">
        <f t="shared" si="15"/>
        <v>17829757</v>
      </c>
      <c r="T95" s="230">
        <f t="shared" si="16"/>
        <v>18079580</v>
      </c>
      <c r="U95" s="231">
        <f t="shared" si="17"/>
        <v>18079580</v>
      </c>
      <c r="V95" s="321"/>
      <c r="W95" s="320"/>
      <c r="X95" s="250"/>
      <c r="Y95" s="321">
        <v>3389177</v>
      </c>
      <c r="Z95" s="320">
        <v>5273110</v>
      </c>
      <c r="AA95" s="252">
        <v>5685140</v>
      </c>
      <c r="AB95" s="469">
        <v>5640677</v>
      </c>
      <c r="AC95" s="470">
        <v>5992100</v>
      </c>
      <c r="AD95" s="471">
        <v>6196980</v>
      </c>
      <c r="AE95" s="472">
        <v>4896100</v>
      </c>
      <c r="AF95" s="470">
        <v>6722420</v>
      </c>
      <c r="AG95" s="471">
        <v>6461060</v>
      </c>
      <c r="AH95" s="472">
        <v>4896100</v>
      </c>
      <c r="AI95" s="470">
        <v>6722420</v>
      </c>
      <c r="AJ95" s="471">
        <v>6461060</v>
      </c>
      <c r="AK95" s="253" t="s">
        <v>474</v>
      </c>
      <c r="AL95" s="236" t="s">
        <v>142</v>
      </c>
      <c r="AM95" s="301"/>
      <c r="AN95" s="303"/>
      <c r="AO95" s="294">
        <v>0</v>
      </c>
      <c r="AP95" s="221">
        <v>0</v>
      </c>
      <c r="AQ95" s="295">
        <v>0</v>
      </c>
      <c r="AR95" s="220" t="s">
        <v>475</v>
      </c>
    </row>
    <row r="96" spans="1:44" s="19" customFormat="1" ht="30" x14ac:dyDescent="0.25">
      <c r="A96" s="262" t="s">
        <v>470</v>
      </c>
      <c r="B96" s="244" t="s">
        <v>124</v>
      </c>
      <c r="C96" s="244"/>
      <c r="D96" s="245"/>
      <c r="E96" s="245" t="s">
        <v>101</v>
      </c>
      <c r="F96" s="247"/>
      <c r="G96" s="247"/>
      <c r="H96" s="247"/>
      <c r="I96" s="248"/>
      <c r="J96" s="248" t="s">
        <v>476</v>
      </c>
      <c r="K96" s="248"/>
      <c r="L96" s="247"/>
      <c r="M96" s="247"/>
      <c r="N96" s="247" t="s">
        <v>477</v>
      </c>
      <c r="O96" s="245" t="s">
        <v>145</v>
      </c>
      <c r="P96" s="228">
        <f t="shared" si="12"/>
        <v>48676505.518128939</v>
      </c>
      <c r="Q96" s="229">
        <f t="shared" si="13"/>
        <v>10500971.076893527</v>
      </c>
      <c r="R96" s="230">
        <f t="shared" si="14"/>
        <v>9157273.1944177561</v>
      </c>
      <c r="S96" s="230">
        <f t="shared" si="15"/>
        <v>9227597.2122918759</v>
      </c>
      <c r="T96" s="230">
        <f t="shared" si="16"/>
        <v>9895332.0172628909</v>
      </c>
      <c r="U96" s="231">
        <f t="shared" si="17"/>
        <v>9895332.0172628909</v>
      </c>
      <c r="V96" s="321">
        <v>2369333.3333333335</v>
      </c>
      <c r="W96" s="320">
        <v>4078129.2445814479</v>
      </c>
      <c r="X96" s="250">
        <v>4053508.4989787447</v>
      </c>
      <c r="Y96" s="321">
        <v>983135.33333333337</v>
      </c>
      <c r="Z96" s="320">
        <v>4062837.3621056788</v>
      </c>
      <c r="AA96" s="252">
        <v>4111300.4989787447</v>
      </c>
      <c r="AB96" s="469">
        <v>984735.33333333337</v>
      </c>
      <c r="AC96" s="470">
        <v>4086253.3799797967</v>
      </c>
      <c r="AD96" s="471">
        <v>4156608.4989787457</v>
      </c>
      <c r="AE96" s="472">
        <v>1597600</v>
      </c>
      <c r="AF96" s="470">
        <v>4106638.4867841443</v>
      </c>
      <c r="AG96" s="471">
        <v>4191093.5304787457</v>
      </c>
      <c r="AH96" s="472">
        <v>1597600</v>
      </c>
      <c r="AI96" s="470">
        <v>4106638.4867841443</v>
      </c>
      <c r="AJ96" s="471">
        <v>4191093.5304787457</v>
      </c>
      <c r="AK96" s="253" t="s">
        <v>474</v>
      </c>
      <c r="AL96" s="236" t="s">
        <v>401</v>
      </c>
      <c r="AM96" s="301"/>
      <c r="AN96" s="303"/>
      <c r="AO96" s="294">
        <v>81630</v>
      </c>
      <c r="AP96" s="221">
        <v>820025</v>
      </c>
      <c r="AQ96" s="295">
        <v>356117</v>
      </c>
      <c r="AR96" s="220" t="s">
        <v>478</v>
      </c>
    </row>
    <row r="97" spans="1:44" s="19" customFormat="1" ht="45" x14ac:dyDescent="0.25">
      <c r="A97" s="262" t="s">
        <v>470</v>
      </c>
      <c r="B97" s="244" t="s">
        <v>124</v>
      </c>
      <c r="C97" s="244"/>
      <c r="D97" s="245"/>
      <c r="E97" s="245" t="s">
        <v>101</v>
      </c>
      <c r="F97" s="247"/>
      <c r="G97" s="247"/>
      <c r="H97" s="247"/>
      <c r="I97" s="248"/>
      <c r="J97" s="248" t="s">
        <v>479</v>
      </c>
      <c r="K97" s="248"/>
      <c r="L97" s="247"/>
      <c r="M97" s="247"/>
      <c r="N97" s="247" t="s">
        <v>477</v>
      </c>
      <c r="O97" s="245" t="s">
        <v>282</v>
      </c>
      <c r="P97" s="228">
        <f t="shared" si="12"/>
        <v>11422000</v>
      </c>
      <c r="Q97" s="229">
        <f t="shared" si="13"/>
        <v>1654000</v>
      </c>
      <c r="R97" s="230">
        <f t="shared" si="14"/>
        <v>2442000</v>
      </c>
      <c r="S97" s="230">
        <f t="shared" si="15"/>
        <v>2442000</v>
      </c>
      <c r="T97" s="230">
        <f t="shared" si="16"/>
        <v>2442000</v>
      </c>
      <c r="U97" s="231">
        <f t="shared" si="17"/>
        <v>2442000</v>
      </c>
      <c r="V97" s="321">
        <v>0</v>
      </c>
      <c r="W97" s="320">
        <v>754000</v>
      </c>
      <c r="X97" s="250">
        <v>900000</v>
      </c>
      <c r="Y97" s="321">
        <v>360000</v>
      </c>
      <c r="Z97" s="320">
        <v>1082000</v>
      </c>
      <c r="AA97" s="252">
        <v>1000000</v>
      </c>
      <c r="AB97" s="469">
        <v>360000</v>
      </c>
      <c r="AC97" s="470">
        <v>1082000</v>
      </c>
      <c r="AD97" s="471">
        <v>1000000</v>
      </c>
      <c r="AE97" s="472">
        <v>360000</v>
      </c>
      <c r="AF97" s="470">
        <v>1082000</v>
      </c>
      <c r="AG97" s="471">
        <v>1000000</v>
      </c>
      <c r="AH97" s="472">
        <v>360000</v>
      </c>
      <c r="AI97" s="470">
        <v>1082000</v>
      </c>
      <c r="AJ97" s="471">
        <v>1000000</v>
      </c>
      <c r="AK97" s="253" t="s">
        <v>201</v>
      </c>
      <c r="AL97" s="236" t="s">
        <v>142</v>
      </c>
      <c r="AM97" s="301"/>
      <c r="AN97" s="303"/>
      <c r="AO97" s="294">
        <v>0</v>
      </c>
      <c r="AP97" s="221">
        <v>754000</v>
      </c>
      <c r="AQ97" s="295">
        <v>869883</v>
      </c>
      <c r="AR97" s="220" t="s">
        <v>480</v>
      </c>
    </row>
    <row r="98" spans="1:44" s="19" customFormat="1" ht="105" x14ac:dyDescent="0.25">
      <c r="A98" s="262" t="s">
        <v>470</v>
      </c>
      <c r="B98" s="244" t="s">
        <v>124</v>
      </c>
      <c r="C98" s="244"/>
      <c r="D98" s="245"/>
      <c r="E98" s="245" t="s">
        <v>101</v>
      </c>
      <c r="F98" s="247" t="s">
        <v>149</v>
      </c>
      <c r="G98" s="247" t="s">
        <v>103</v>
      </c>
      <c r="H98" s="247"/>
      <c r="I98" s="248"/>
      <c r="J98" s="248" t="s">
        <v>481</v>
      </c>
      <c r="K98" s="248"/>
      <c r="L98" s="247"/>
      <c r="M98" s="247"/>
      <c r="N98" s="247"/>
      <c r="O98" s="245" t="s">
        <v>283</v>
      </c>
      <c r="P98" s="228">
        <f t="shared" si="12"/>
        <v>798804</v>
      </c>
      <c r="Q98" s="229">
        <f t="shared" si="13"/>
        <v>726530</v>
      </c>
      <c r="R98" s="230">
        <f t="shared" si="14"/>
        <v>72274</v>
      </c>
      <c r="S98" s="230">
        <f t="shared" si="15"/>
        <v>0</v>
      </c>
      <c r="T98" s="230">
        <f t="shared" si="16"/>
        <v>0</v>
      </c>
      <c r="U98" s="231">
        <f t="shared" si="17"/>
        <v>0</v>
      </c>
      <c r="V98" s="321">
        <v>389772</v>
      </c>
      <c r="W98" s="320">
        <v>175330</v>
      </c>
      <c r="X98" s="250">
        <v>161428</v>
      </c>
      <c r="Y98" s="321">
        <v>47536</v>
      </c>
      <c r="Z98" s="320">
        <v>3250</v>
      </c>
      <c r="AA98" s="252">
        <v>21488</v>
      </c>
      <c r="AB98" s="469"/>
      <c r="AC98" s="470"/>
      <c r="AD98" s="471"/>
      <c r="AE98" s="472"/>
      <c r="AF98" s="470"/>
      <c r="AG98" s="471"/>
      <c r="AH98" s="472"/>
      <c r="AI98" s="470"/>
      <c r="AJ98" s="471"/>
      <c r="AK98" s="253" t="s">
        <v>201</v>
      </c>
      <c r="AL98" s="236" t="s">
        <v>401</v>
      </c>
      <c r="AM98" s="301"/>
      <c r="AN98" s="303"/>
      <c r="AO98" s="294">
        <v>169149</v>
      </c>
      <c r="AP98" s="221">
        <v>142901</v>
      </c>
      <c r="AQ98" s="295">
        <v>48548</v>
      </c>
      <c r="AR98" s="220" t="s">
        <v>482</v>
      </c>
    </row>
    <row r="99" spans="1:44" s="19" customFormat="1" ht="105" x14ac:dyDescent="0.25">
      <c r="A99" s="262" t="s">
        <v>470</v>
      </c>
      <c r="B99" s="244" t="s">
        <v>124</v>
      </c>
      <c r="C99" s="244"/>
      <c r="D99" s="245"/>
      <c r="E99" s="245" t="s">
        <v>101</v>
      </c>
      <c r="F99" s="247" t="s">
        <v>149</v>
      </c>
      <c r="G99" s="247" t="s">
        <v>103</v>
      </c>
      <c r="H99" s="247"/>
      <c r="I99" s="248"/>
      <c r="J99" s="248" t="s">
        <v>483</v>
      </c>
      <c r="K99" s="248"/>
      <c r="L99" s="247"/>
      <c r="M99" s="247"/>
      <c r="N99" s="247"/>
      <c r="O99" s="245" t="s">
        <v>283</v>
      </c>
      <c r="P99" s="228">
        <f t="shared" si="12"/>
        <v>834561</v>
      </c>
      <c r="Q99" s="229">
        <f t="shared" si="13"/>
        <v>834561</v>
      </c>
      <c r="R99" s="230">
        <f t="shared" si="14"/>
        <v>0</v>
      </c>
      <c r="S99" s="230">
        <f t="shared" si="15"/>
        <v>0</v>
      </c>
      <c r="T99" s="230">
        <f t="shared" si="16"/>
        <v>0</v>
      </c>
      <c r="U99" s="231">
        <f t="shared" si="17"/>
        <v>0</v>
      </c>
      <c r="V99" s="321">
        <v>708061</v>
      </c>
      <c r="W99" s="320">
        <v>110000</v>
      </c>
      <c r="X99" s="250">
        <v>16500</v>
      </c>
      <c r="Y99" s="321"/>
      <c r="Z99" s="320"/>
      <c r="AA99" s="252"/>
      <c r="AB99" s="469"/>
      <c r="AC99" s="470"/>
      <c r="AD99" s="471"/>
      <c r="AE99" s="472"/>
      <c r="AF99" s="470"/>
      <c r="AG99" s="471"/>
      <c r="AH99" s="472"/>
      <c r="AI99" s="470"/>
      <c r="AJ99" s="471"/>
      <c r="AK99" s="253"/>
      <c r="AL99" s="236" t="s">
        <v>401</v>
      </c>
      <c r="AM99" s="301"/>
      <c r="AN99" s="303"/>
      <c r="AO99" s="294">
        <v>708061</v>
      </c>
      <c r="AP99" s="221">
        <v>63068</v>
      </c>
      <c r="AQ99" s="295">
        <v>9460</v>
      </c>
      <c r="AR99" s="220" t="s">
        <v>484</v>
      </c>
    </row>
    <row r="100" spans="1:44" s="19" customFormat="1" ht="105" x14ac:dyDescent="0.25">
      <c r="A100" s="262" t="s">
        <v>470</v>
      </c>
      <c r="B100" s="244" t="s">
        <v>124</v>
      </c>
      <c r="C100" s="244"/>
      <c r="D100" s="245"/>
      <c r="E100" s="245" t="s">
        <v>101</v>
      </c>
      <c r="F100" s="247" t="s">
        <v>149</v>
      </c>
      <c r="G100" s="247" t="s">
        <v>103</v>
      </c>
      <c r="H100" s="247"/>
      <c r="I100" s="248"/>
      <c r="J100" s="248" t="s">
        <v>485</v>
      </c>
      <c r="K100" s="248"/>
      <c r="L100" s="247"/>
      <c r="M100" s="247"/>
      <c r="N100" s="247"/>
      <c r="O100" s="245" t="s">
        <v>283</v>
      </c>
      <c r="P100" s="228">
        <f t="shared" si="12"/>
        <v>65909</v>
      </c>
      <c r="Q100" s="229">
        <f t="shared" si="13"/>
        <v>65909</v>
      </c>
      <c r="R100" s="230">
        <f t="shared" si="14"/>
        <v>0</v>
      </c>
      <c r="S100" s="230">
        <f t="shared" si="15"/>
        <v>0</v>
      </c>
      <c r="T100" s="230">
        <f t="shared" si="16"/>
        <v>0</v>
      </c>
      <c r="U100" s="231">
        <f t="shared" si="17"/>
        <v>0</v>
      </c>
      <c r="V100" s="321">
        <v>64960</v>
      </c>
      <c r="W100" s="320">
        <v>949</v>
      </c>
      <c r="X100" s="250"/>
      <c r="Y100" s="321"/>
      <c r="Z100" s="320"/>
      <c r="AA100" s="252"/>
      <c r="AB100" s="469"/>
      <c r="AC100" s="470"/>
      <c r="AD100" s="471"/>
      <c r="AE100" s="472"/>
      <c r="AF100" s="470"/>
      <c r="AG100" s="471"/>
      <c r="AH100" s="472"/>
      <c r="AI100" s="470"/>
      <c r="AJ100" s="471"/>
      <c r="AK100" s="253"/>
      <c r="AL100" s="236" t="s">
        <v>401</v>
      </c>
      <c r="AM100" s="301"/>
      <c r="AN100" s="303"/>
      <c r="AO100" s="294">
        <v>64960</v>
      </c>
      <c r="AP100" s="221">
        <v>944</v>
      </c>
      <c r="AQ100" s="295">
        <v>0</v>
      </c>
      <c r="AR100" s="220" t="s">
        <v>486</v>
      </c>
    </row>
    <row r="101" spans="1:44" s="19" customFormat="1" ht="105" x14ac:dyDescent="0.25">
      <c r="A101" s="262" t="s">
        <v>470</v>
      </c>
      <c r="B101" s="244" t="s">
        <v>124</v>
      </c>
      <c r="C101" s="244"/>
      <c r="D101" s="245"/>
      <c r="E101" s="245" t="s">
        <v>101</v>
      </c>
      <c r="F101" s="247" t="s">
        <v>149</v>
      </c>
      <c r="G101" s="247" t="s">
        <v>103</v>
      </c>
      <c r="H101" s="247"/>
      <c r="I101" s="248"/>
      <c r="J101" s="248" t="s">
        <v>487</v>
      </c>
      <c r="K101" s="248"/>
      <c r="L101" s="247"/>
      <c r="M101" s="247"/>
      <c r="N101" s="247"/>
      <c r="O101" s="245" t="s">
        <v>283</v>
      </c>
      <c r="P101" s="228">
        <f t="shared" si="12"/>
        <v>247393</v>
      </c>
      <c r="Q101" s="229">
        <f t="shared" si="13"/>
        <v>247393</v>
      </c>
      <c r="R101" s="230">
        <f t="shared" si="14"/>
        <v>0</v>
      </c>
      <c r="S101" s="230">
        <f t="shared" si="15"/>
        <v>0</v>
      </c>
      <c r="T101" s="230">
        <f t="shared" si="16"/>
        <v>0</v>
      </c>
      <c r="U101" s="231">
        <f t="shared" si="17"/>
        <v>0</v>
      </c>
      <c r="V101" s="321">
        <v>110793</v>
      </c>
      <c r="W101" s="320">
        <v>118783</v>
      </c>
      <c r="X101" s="250">
        <v>17817</v>
      </c>
      <c r="Y101" s="321"/>
      <c r="Z101" s="320"/>
      <c r="AA101" s="252"/>
      <c r="AB101" s="469"/>
      <c r="AC101" s="470"/>
      <c r="AD101" s="471"/>
      <c r="AE101" s="472"/>
      <c r="AF101" s="470"/>
      <c r="AG101" s="471"/>
      <c r="AH101" s="472"/>
      <c r="AI101" s="470"/>
      <c r="AJ101" s="471"/>
      <c r="AK101" s="253"/>
      <c r="AL101" s="236" t="s">
        <v>401</v>
      </c>
      <c r="AM101" s="301"/>
      <c r="AN101" s="303"/>
      <c r="AO101" s="294">
        <v>489273</v>
      </c>
      <c r="AP101" s="221">
        <v>51125</v>
      </c>
      <c r="AQ101" s="295">
        <v>7669</v>
      </c>
      <c r="AR101" s="220" t="s">
        <v>488</v>
      </c>
    </row>
    <row r="102" spans="1:44" s="19" customFormat="1" ht="330" x14ac:dyDescent="0.25">
      <c r="A102" s="262" t="s">
        <v>470</v>
      </c>
      <c r="B102" s="244" t="s">
        <v>124</v>
      </c>
      <c r="C102" s="244"/>
      <c r="D102" s="245"/>
      <c r="E102" s="245" t="s">
        <v>101</v>
      </c>
      <c r="F102" s="247" t="s">
        <v>206</v>
      </c>
      <c r="G102" s="247" t="s">
        <v>103</v>
      </c>
      <c r="H102" s="247"/>
      <c r="I102" s="248" t="s">
        <v>207</v>
      </c>
      <c r="J102" s="248" t="s">
        <v>489</v>
      </c>
      <c r="K102" s="248" t="s">
        <v>209</v>
      </c>
      <c r="L102" s="247"/>
      <c r="M102" s="247"/>
      <c r="N102" s="247"/>
      <c r="O102" s="245" t="s">
        <v>109</v>
      </c>
      <c r="P102" s="228">
        <f t="shared" si="12"/>
        <v>1896666.6666666667</v>
      </c>
      <c r="Q102" s="229">
        <f t="shared" si="13"/>
        <v>0</v>
      </c>
      <c r="R102" s="230">
        <f t="shared" si="14"/>
        <v>833333.33333333337</v>
      </c>
      <c r="S102" s="230">
        <f t="shared" si="15"/>
        <v>916666.66666666674</v>
      </c>
      <c r="T102" s="230">
        <f t="shared" si="16"/>
        <v>146666.66666666669</v>
      </c>
      <c r="U102" s="231">
        <f t="shared" si="17"/>
        <v>0</v>
      </c>
      <c r="V102" s="321">
        <v>0</v>
      </c>
      <c r="W102" s="320">
        <v>0</v>
      </c>
      <c r="X102" s="250">
        <v>0</v>
      </c>
      <c r="Y102" s="321">
        <v>833333.33333333337</v>
      </c>
      <c r="Z102" s="320">
        <v>0</v>
      </c>
      <c r="AA102" s="252">
        <v>0</v>
      </c>
      <c r="AB102" s="469">
        <v>916666.66666666674</v>
      </c>
      <c r="AC102" s="470">
        <v>0</v>
      </c>
      <c r="AD102" s="471">
        <v>0</v>
      </c>
      <c r="AE102" s="472">
        <v>146666.66666666669</v>
      </c>
      <c r="AF102" s="470">
        <v>0</v>
      </c>
      <c r="AG102" s="471">
        <v>0</v>
      </c>
      <c r="AH102" s="472">
        <v>0</v>
      </c>
      <c r="AI102" s="470">
        <v>0</v>
      </c>
      <c r="AJ102" s="471">
        <v>0</v>
      </c>
      <c r="AK102" s="253"/>
      <c r="AL102" s="236" t="s">
        <v>132</v>
      </c>
      <c r="AM102" s="301" t="s">
        <v>490</v>
      </c>
      <c r="AN102" s="303"/>
      <c r="AO102" s="294">
        <v>0</v>
      </c>
      <c r="AP102" s="221">
        <v>0</v>
      </c>
      <c r="AQ102" s="295">
        <v>0</v>
      </c>
      <c r="AR102" s="220" t="s">
        <v>491</v>
      </c>
    </row>
    <row r="103" spans="1:44" s="19" customFormat="1" ht="75" x14ac:dyDescent="0.25">
      <c r="A103" s="262" t="s">
        <v>470</v>
      </c>
      <c r="B103" s="244" t="s">
        <v>124</v>
      </c>
      <c r="C103" s="244"/>
      <c r="D103" s="245"/>
      <c r="E103" s="245" t="s">
        <v>101</v>
      </c>
      <c r="F103" s="247"/>
      <c r="G103" s="247"/>
      <c r="H103" s="247"/>
      <c r="I103" s="248" t="s">
        <v>492</v>
      </c>
      <c r="J103" s="248" t="s">
        <v>493</v>
      </c>
      <c r="K103" s="248" t="s">
        <v>494</v>
      </c>
      <c r="L103" s="247"/>
      <c r="M103" s="247"/>
      <c r="N103" s="247"/>
      <c r="O103" s="245" t="s">
        <v>258</v>
      </c>
      <c r="P103" s="228">
        <f t="shared" si="12"/>
        <v>1190800</v>
      </c>
      <c r="Q103" s="229">
        <f t="shared" si="13"/>
        <v>0</v>
      </c>
      <c r="R103" s="230">
        <f t="shared" si="14"/>
        <v>131000</v>
      </c>
      <c r="S103" s="230">
        <f t="shared" si="15"/>
        <v>330800</v>
      </c>
      <c r="T103" s="230">
        <f t="shared" si="16"/>
        <v>359800</v>
      </c>
      <c r="U103" s="231">
        <f t="shared" si="17"/>
        <v>369200</v>
      </c>
      <c r="V103" s="321">
        <v>0</v>
      </c>
      <c r="W103" s="320">
        <v>0</v>
      </c>
      <c r="X103" s="250">
        <v>0</v>
      </c>
      <c r="Y103" s="321">
        <v>0</v>
      </c>
      <c r="Z103" s="320">
        <v>45000</v>
      </c>
      <c r="AA103" s="252">
        <v>86000</v>
      </c>
      <c r="AB103" s="469">
        <v>0</v>
      </c>
      <c r="AC103" s="470">
        <v>224800</v>
      </c>
      <c r="AD103" s="471">
        <v>106000</v>
      </c>
      <c r="AE103" s="472">
        <v>0</v>
      </c>
      <c r="AF103" s="470">
        <v>233800</v>
      </c>
      <c r="AG103" s="471">
        <v>126000</v>
      </c>
      <c r="AH103" s="472">
        <v>0</v>
      </c>
      <c r="AI103" s="470">
        <v>243200</v>
      </c>
      <c r="AJ103" s="471">
        <v>126000</v>
      </c>
      <c r="AK103" s="253"/>
      <c r="AL103" s="236" t="s">
        <v>132</v>
      </c>
      <c r="AM103" s="301" t="s">
        <v>490</v>
      </c>
      <c r="AN103" s="303"/>
      <c r="AO103" s="294">
        <v>0</v>
      </c>
      <c r="AP103" s="221">
        <v>0</v>
      </c>
      <c r="AQ103" s="295">
        <v>0</v>
      </c>
      <c r="AR103" s="220" t="s">
        <v>495</v>
      </c>
    </row>
    <row r="104" spans="1:44" s="19" customFormat="1" ht="45" x14ac:dyDescent="0.25">
      <c r="A104" s="262" t="s">
        <v>470</v>
      </c>
      <c r="B104" s="244" t="s">
        <v>124</v>
      </c>
      <c r="C104" s="244"/>
      <c r="D104" s="245"/>
      <c r="E104" s="245" t="s">
        <v>101</v>
      </c>
      <c r="F104" s="247"/>
      <c r="G104" s="247"/>
      <c r="H104" s="247"/>
      <c r="I104" s="248"/>
      <c r="J104" s="248" t="s">
        <v>496</v>
      </c>
      <c r="K104" s="248"/>
      <c r="L104" s="247"/>
      <c r="M104" s="247"/>
      <c r="N104" s="247"/>
      <c r="O104" s="245" t="s">
        <v>141</v>
      </c>
      <c r="P104" s="228">
        <f t="shared" si="12"/>
        <v>5868853</v>
      </c>
      <c r="Q104" s="229">
        <f t="shared" si="13"/>
        <v>5868853</v>
      </c>
      <c r="R104" s="230">
        <f t="shared" si="14"/>
        <v>0</v>
      </c>
      <c r="S104" s="230">
        <f t="shared" si="15"/>
        <v>0</v>
      </c>
      <c r="T104" s="230">
        <f t="shared" si="16"/>
        <v>0</v>
      </c>
      <c r="U104" s="231">
        <f t="shared" si="17"/>
        <v>0</v>
      </c>
      <c r="V104" s="321">
        <v>2665881</v>
      </c>
      <c r="W104" s="320">
        <v>2085472</v>
      </c>
      <c r="X104" s="250">
        <v>1117500</v>
      </c>
      <c r="Y104" s="321"/>
      <c r="Z104" s="320"/>
      <c r="AA104" s="252"/>
      <c r="AB104" s="469"/>
      <c r="AC104" s="470"/>
      <c r="AD104" s="471"/>
      <c r="AE104" s="472"/>
      <c r="AF104" s="470"/>
      <c r="AG104" s="471"/>
      <c r="AH104" s="472"/>
      <c r="AI104" s="470"/>
      <c r="AJ104" s="471"/>
      <c r="AK104" s="253"/>
      <c r="AL104" s="236" t="s">
        <v>132</v>
      </c>
      <c r="AM104" s="301" t="s">
        <v>490</v>
      </c>
      <c r="AN104" s="303"/>
      <c r="AO104" s="294">
        <v>2835627</v>
      </c>
      <c r="AP104" s="221">
        <v>1885701</v>
      </c>
      <c r="AQ104" s="295">
        <v>968818</v>
      </c>
      <c r="AR104" s="220" t="s">
        <v>497</v>
      </c>
    </row>
    <row r="105" spans="1:44" s="19" customFormat="1" ht="45" x14ac:dyDescent="0.25">
      <c r="A105" s="262" t="s">
        <v>470</v>
      </c>
      <c r="B105" s="244" t="s">
        <v>124</v>
      </c>
      <c r="C105" s="244"/>
      <c r="D105" s="245"/>
      <c r="E105" s="245" t="s">
        <v>101</v>
      </c>
      <c r="F105" s="247"/>
      <c r="G105" s="247"/>
      <c r="H105" s="247"/>
      <c r="I105" s="248"/>
      <c r="J105" s="248" t="s">
        <v>498</v>
      </c>
      <c r="K105" s="248"/>
      <c r="L105" s="247"/>
      <c r="M105" s="247"/>
      <c r="N105" s="247"/>
      <c r="O105" s="245" t="s">
        <v>141</v>
      </c>
      <c r="P105" s="228">
        <f t="shared" si="12"/>
        <v>420000</v>
      </c>
      <c r="Q105" s="229">
        <f t="shared" si="13"/>
        <v>84000</v>
      </c>
      <c r="R105" s="230">
        <f t="shared" si="14"/>
        <v>84000</v>
      </c>
      <c r="S105" s="230">
        <f t="shared" si="15"/>
        <v>84000</v>
      </c>
      <c r="T105" s="230">
        <f t="shared" si="16"/>
        <v>84000</v>
      </c>
      <c r="U105" s="231">
        <f t="shared" si="17"/>
        <v>84000</v>
      </c>
      <c r="V105" s="321"/>
      <c r="W105" s="320"/>
      <c r="X105" s="250">
        <v>84000</v>
      </c>
      <c r="Y105" s="321"/>
      <c r="Z105" s="320"/>
      <c r="AA105" s="252">
        <v>84000</v>
      </c>
      <c r="AB105" s="469"/>
      <c r="AC105" s="470"/>
      <c r="AD105" s="471">
        <v>84000</v>
      </c>
      <c r="AE105" s="472"/>
      <c r="AF105" s="470"/>
      <c r="AG105" s="471">
        <v>84000</v>
      </c>
      <c r="AH105" s="472"/>
      <c r="AI105" s="470"/>
      <c r="AJ105" s="471">
        <v>84000</v>
      </c>
      <c r="AK105" s="253"/>
      <c r="AL105" s="236" t="s">
        <v>142</v>
      </c>
      <c r="AM105" s="301" t="s">
        <v>499</v>
      </c>
      <c r="AN105" s="303"/>
      <c r="AO105" s="294">
        <v>0</v>
      </c>
      <c r="AP105" s="221">
        <v>57129</v>
      </c>
      <c r="AQ105" s="295">
        <v>22393</v>
      </c>
      <c r="AR105" s="220" t="s">
        <v>500</v>
      </c>
    </row>
    <row r="106" spans="1:44" s="19" customFormat="1" ht="45" x14ac:dyDescent="0.25">
      <c r="A106" s="262" t="s">
        <v>470</v>
      </c>
      <c r="B106" s="244" t="s">
        <v>124</v>
      </c>
      <c r="C106" s="244"/>
      <c r="D106" s="245"/>
      <c r="E106" s="245" t="s">
        <v>101</v>
      </c>
      <c r="F106" s="247"/>
      <c r="G106" s="247"/>
      <c r="H106" s="247"/>
      <c r="I106" s="248"/>
      <c r="J106" s="248" t="s">
        <v>501</v>
      </c>
      <c r="K106" s="248"/>
      <c r="L106" s="247"/>
      <c r="M106" s="247"/>
      <c r="N106" s="247"/>
      <c r="O106" s="245" t="s">
        <v>141</v>
      </c>
      <c r="P106" s="228">
        <f t="shared" si="12"/>
        <v>172080</v>
      </c>
      <c r="Q106" s="229">
        <f t="shared" si="13"/>
        <v>34416</v>
      </c>
      <c r="R106" s="230">
        <f t="shared" si="14"/>
        <v>34416</v>
      </c>
      <c r="S106" s="230">
        <f t="shared" si="15"/>
        <v>34416</v>
      </c>
      <c r="T106" s="230">
        <f t="shared" si="16"/>
        <v>34416</v>
      </c>
      <c r="U106" s="231">
        <f t="shared" si="17"/>
        <v>34416</v>
      </c>
      <c r="V106" s="321"/>
      <c r="W106" s="320"/>
      <c r="X106" s="250">
        <v>34416</v>
      </c>
      <c r="Y106" s="321"/>
      <c r="Z106" s="320"/>
      <c r="AA106" s="252">
        <v>34416</v>
      </c>
      <c r="AB106" s="469"/>
      <c r="AC106" s="470"/>
      <c r="AD106" s="471">
        <v>34416</v>
      </c>
      <c r="AE106" s="472"/>
      <c r="AF106" s="470"/>
      <c r="AG106" s="471">
        <v>34416</v>
      </c>
      <c r="AH106" s="472"/>
      <c r="AI106" s="470"/>
      <c r="AJ106" s="471">
        <v>34416</v>
      </c>
      <c r="AK106" s="253" t="s">
        <v>502</v>
      </c>
      <c r="AL106" s="236" t="s">
        <v>142</v>
      </c>
      <c r="AM106" s="301"/>
      <c r="AN106" s="303"/>
      <c r="AO106" s="294">
        <v>0</v>
      </c>
      <c r="AP106" s="221">
        <v>34416</v>
      </c>
      <c r="AQ106" s="295">
        <v>0</v>
      </c>
      <c r="AR106" s="220"/>
    </row>
    <row r="107" spans="1:44" s="19" customFormat="1" ht="30" x14ac:dyDescent="0.25">
      <c r="A107" s="262" t="s">
        <v>470</v>
      </c>
      <c r="B107" s="244" t="s">
        <v>124</v>
      </c>
      <c r="C107" s="244"/>
      <c r="D107" s="245"/>
      <c r="E107" s="245" t="s">
        <v>101</v>
      </c>
      <c r="F107" s="247"/>
      <c r="G107" s="247"/>
      <c r="H107" s="247"/>
      <c r="I107" s="248"/>
      <c r="J107" s="248" t="s">
        <v>503</v>
      </c>
      <c r="K107" s="248"/>
      <c r="L107" s="247"/>
      <c r="M107" s="247"/>
      <c r="N107" s="247"/>
      <c r="O107" s="245" t="s">
        <v>141</v>
      </c>
      <c r="P107" s="228">
        <f t="shared" si="12"/>
        <v>402270</v>
      </c>
      <c r="Q107" s="229">
        <f t="shared" si="13"/>
        <v>80454</v>
      </c>
      <c r="R107" s="230">
        <f t="shared" si="14"/>
        <v>80454</v>
      </c>
      <c r="S107" s="230">
        <f t="shared" si="15"/>
        <v>80454</v>
      </c>
      <c r="T107" s="230">
        <f t="shared" si="16"/>
        <v>80454</v>
      </c>
      <c r="U107" s="231">
        <f t="shared" si="17"/>
        <v>80454</v>
      </c>
      <c r="V107" s="321"/>
      <c r="W107" s="320"/>
      <c r="X107" s="250">
        <v>80454</v>
      </c>
      <c r="Y107" s="321"/>
      <c r="Z107" s="320"/>
      <c r="AA107" s="252">
        <v>80454</v>
      </c>
      <c r="AB107" s="469"/>
      <c r="AC107" s="470"/>
      <c r="AD107" s="471">
        <v>80454</v>
      </c>
      <c r="AE107" s="472"/>
      <c r="AF107" s="470"/>
      <c r="AG107" s="471">
        <v>80454</v>
      </c>
      <c r="AH107" s="472"/>
      <c r="AI107" s="470"/>
      <c r="AJ107" s="471">
        <v>80454</v>
      </c>
      <c r="AK107" s="253" t="s">
        <v>502</v>
      </c>
      <c r="AL107" s="236" t="s">
        <v>401</v>
      </c>
      <c r="AM107" s="301"/>
      <c r="AN107" s="303"/>
      <c r="AO107" s="294">
        <v>0</v>
      </c>
      <c r="AP107" s="221">
        <v>80454</v>
      </c>
      <c r="AQ107" s="295">
        <v>0</v>
      </c>
      <c r="AR107" s="220" t="s">
        <v>500</v>
      </c>
    </row>
    <row r="108" spans="1:44" s="19" customFormat="1" ht="45" x14ac:dyDescent="0.25">
      <c r="A108" s="262" t="s">
        <v>470</v>
      </c>
      <c r="B108" s="244" t="s">
        <v>124</v>
      </c>
      <c r="C108" s="244"/>
      <c r="D108" s="245"/>
      <c r="E108" s="245" t="s">
        <v>101</v>
      </c>
      <c r="F108" s="247"/>
      <c r="G108" s="247"/>
      <c r="H108" s="247"/>
      <c r="I108" s="248"/>
      <c r="J108" s="248" t="s">
        <v>504</v>
      </c>
      <c r="K108" s="248"/>
      <c r="L108" s="247"/>
      <c r="M108" s="247"/>
      <c r="N108" s="247"/>
      <c r="O108" s="245" t="s">
        <v>141</v>
      </c>
      <c r="P108" s="228">
        <f t="shared" si="12"/>
        <v>1181700</v>
      </c>
      <c r="Q108" s="229">
        <f t="shared" si="13"/>
        <v>236340</v>
      </c>
      <c r="R108" s="230">
        <f t="shared" si="14"/>
        <v>236340</v>
      </c>
      <c r="S108" s="230">
        <f t="shared" si="15"/>
        <v>236340</v>
      </c>
      <c r="T108" s="230">
        <f t="shared" si="16"/>
        <v>236340</v>
      </c>
      <c r="U108" s="231">
        <f t="shared" si="17"/>
        <v>236340</v>
      </c>
      <c r="V108" s="321"/>
      <c r="W108" s="320">
        <v>236340</v>
      </c>
      <c r="X108" s="250"/>
      <c r="Y108" s="321"/>
      <c r="Z108" s="320">
        <v>236340</v>
      </c>
      <c r="AA108" s="252"/>
      <c r="AB108" s="469"/>
      <c r="AC108" s="470">
        <v>236340</v>
      </c>
      <c r="AD108" s="471"/>
      <c r="AE108" s="472"/>
      <c r="AF108" s="470">
        <v>236340</v>
      </c>
      <c r="AG108" s="471"/>
      <c r="AH108" s="472"/>
      <c r="AI108" s="470">
        <v>236340</v>
      </c>
      <c r="AJ108" s="471"/>
      <c r="AK108" s="253"/>
      <c r="AL108" s="236" t="s">
        <v>142</v>
      </c>
      <c r="AM108" s="301" t="s">
        <v>505</v>
      </c>
      <c r="AN108" s="303"/>
      <c r="AO108" s="294">
        <v>0</v>
      </c>
      <c r="AP108" s="221">
        <v>0</v>
      </c>
      <c r="AQ108" s="295">
        <v>0</v>
      </c>
      <c r="AR108" s="220" t="s">
        <v>506</v>
      </c>
    </row>
    <row r="109" spans="1:44" s="19" customFormat="1" ht="60" x14ac:dyDescent="0.25">
      <c r="A109" s="262" t="s">
        <v>470</v>
      </c>
      <c r="B109" s="244" t="s">
        <v>124</v>
      </c>
      <c r="C109" s="244"/>
      <c r="D109" s="245"/>
      <c r="E109" s="245" t="s">
        <v>101</v>
      </c>
      <c r="F109" s="247"/>
      <c r="G109" s="247"/>
      <c r="H109" s="247"/>
      <c r="I109" s="248"/>
      <c r="J109" s="248" t="s">
        <v>507</v>
      </c>
      <c r="K109" s="248"/>
      <c r="L109" s="247"/>
      <c r="M109" s="247"/>
      <c r="N109" s="247"/>
      <c r="O109" s="245" t="s">
        <v>283</v>
      </c>
      <c r="P109" s="228">
        <f t="shared" si="12"/>
        <v>317055</v>
      </c>
      <c r="Q109" s="229">
        <f t="shared" si="13"/>
        <v>317055</v>
      </c>
      <c r="R109" s="230">
        <f t="shared" si="14"/>
        <v>0</v>
      </c>
      <c r="S109" s="230">
        <f t="shared" si="15"/>
        <v>0</v>
      </c>
      <c r="T109" s="230">
        <f t="shared" si="16"/>
        <v>0</v>
      </c>
      <c r="U109" s="231">
        <f t="shared" si="17"/>
        <v>0</v>
      </c>
      <c r="V109" s="321">
        <v>311200</v>
      </c>
      <c r="W109" s="320">
        <v>5855</v>
      </c>
      <c r="X109" s="250"/>
      <c r="Y109" s="321"/>
      <c r="Z109" s="320"/>
      <c r="AA109" s="252"/>
      <c r="AB109" s="469"/>
      <c r="AC109" s="470"/>
      <c r="AD109" s="471"/>
      <c r="AE109" s="472"/>
      <c r="AF109" s="470"/>
      <c r="AG109" s="471"/>
      <c r="AH109" s="472"/>
      <c r="AI109" s="470"/>
      <c r="AJ109" s="471"/>
      <c r="AK109" s="253"/>
      <c r="AL109" s="236" t="s">
        <v>401</v>
      </c>
      <c r="AM109" s="301"/>
      <c r="AN109" s="303"/>
      <c r="AO109" s="294">
        <v>311200</v>
      </c>
      <c r="AP109" s="221">
        <v>5431</v>
      </c>
      <c r="AQ109" s="295">
        <v>0</v>
      </c>
      <c r="AR109" s="220" t="s">
        <v>486</v>
      </c>
    </row>
    <row r="110" spans="1:44" s="19" customFormat="1" ht="60" x14ac:dyDescent="0.25">
      <c r="A110" s="262" t="s">
        <v>470</v>
      </c>
      <c r="B110" s="244" t="s">
        <v>124</v>
      </c>
      <c r="C110" s="244"/>
      <c r="D110" s="245"/>
      <c r="E110" s="245" t="s">
        <v>101</v>
      </c>
      <c r="F110" s="247"/>
      <c r="G110" s="247"/>
      <c r="H110" s="247"/>
      <c r="I110" s="248"/>
      <c r="J110" s="248" t="s">
        <v>508</v>
      </c>
      <c r="K110" s="248"/>
      <c r="L110" s="247"/>
      <c r="M110" s="247"/>
      <c r="N110" s="247"/>
      <c r="O110" s="245" t="s">
        <v>283</v>
      </c>
      <c r="P110" s="228">
        <f t="shared" si="12"/>
        <v>231233</v>
      </c>
      <c r="Q110" s="229">
        <f t="shared" si="13"/>
        <v>231233</v>
      </c>
      <c r="R110" s="230">
        <f t="shared" si="14"/>
        <v>0</v>
      </c>
      <c r="S110" s="230">
        <f t="shared" si="15"/>
        <v>0</v>
      </c>
      <c r="T110" s="230">
        <f t="shared" si="16"/>
        <v>0</v>
      </c>
      <c r="U110" s="231">
        <f t="shared" si="17"/>
        <v>0</v>
      </c>
      <c r="V110" s="321">
        <v>222120</v>
      </c>
      <c r="W110" s="320">
        <v>9113</v>
      </c>
      <c r="X110" s="250"/>
      <c r="Y110" s="321"/>
      <c r="Z110" s="320"/>
      <c r="AA110" s="252"/>
      <c r="AB110" s="469"/>
      <c r="AC110" s="470"/>
      <c r="AD110" s="471"/>
      <c r="AE110" s="472"/>
      <c r="AF110" s="470"/>
      <c r="AG110" s="471"/>
      <c r="AH110" s="472"/>
      <c r="AI110" s="470"/>
      <c r="AJ110" s="471"/>
      <c r="AK110" s="253"/>
      <c r="AL110" s="236" t="s">
        <v>401</v>
      </c>
      <c r="AM110" s="301"/>
      <c r="AN110" s="303"/>
      <c r="AO110" s="294">
        <v>222020</v>
      </c>
      <c r="AP110" s="221">
        <v>9088</v>
      </c>
      <c r="AQ110" s="295">
        <v>0</v>
      </c>
      <c r="AR110" s="220" t="s">
        <v>486</v>
      </c>
    </row>
    <row r="111" spans="1:44" s="19" customFormat="1" ht="30" x14ac:dyDescent="0.25">
      <c r="A111" s="262" t="s">
        <v>470</v>
      </c>
      <c r="B111" s="244" t="s">
        <v>124</v>
      </c>
      <c r="C111" s="244"/>
      <c r="D111" s="245"/>
      <c r="E111" s="245" t="s">
        <v>101</v>
      </c>
      <c r="F111" s="247"/>
      <c r="G111" s="247"/>
      <c r="H111" s="247"/>
      <c r="I111" s="248"/>
      <c r="J111" s="248" t="s">
        <v>509</v>
      </c>
      <c r="K111" s="248"/>
      <c r="L111" s="247"/>
      <c r="M111" s="247"/>
      <c r="N111" s="247"/>
      <c r="O111" s="245" t="s">
        <v>145</v>
      </c>
      <c r="P111" s="228">
        <f t="shared" si="12"/>
        <v>32276</v>
      </c>
      <c r="Q111" s="229">
        <f t="shared" si="13"/>
        <v>32276</v>
      </c>
      <c r="R111" s="230">
        <f t="shared" si="14"/>
        <v>0</v>
      </c>
      <c r="S111" s="230">
        <f t="shared" si="15"/>
        <v>0</v>
      </c>
      <c r="T111" s="230">
        <f t="shared" si="16"/>
        <v>0</v>
      </c>
      <c r="U111" s="231">
        <f t="shared" si="17"/>
        <v>0</v>
      </c>
      <c r="V111" s="321">
        <v>32276</v>
      </c>
      <c r="W111" s="320"/>
      <c r="X111" s="250"/>
      <c r="Y111" s="321"/>
      <c r="Z111" s="320"/>
      <c r="AA111" s="252"/>
      <c r="AB111" s="469"/>
      <c r="AC111" s="470"/>
      <c r="AD111" s="471"/>
      <c r="AE111" s="472"/>
      <c r="AF111" s="470"/>
      <c r="AG111" s="471"/>
      <c r="AH111" s="472"/>
      <c r="AI111" s="470"/>
      <c r="AJ111" s="471"/>
      <c r="AK111" s="253"/>
      <c r="AL111" s="236" t="s">
        <v>401</v>
      </c>
      <c r="AM111" s="301"/>
      <c r="AN111" s="303"/>
      <c r="AO111" s="294">
        <v>0</v>
      </c>
      <c r="AP111" s="221">
        <v>0</v>
      </c>
      <c r="AQ111" s="295">
        <v>0</v>
      </c>
      <c r="AR111" s="220" t="s">
        <v>510</v>
      </c>
    </row>
    <row r="112" spans="1:44" s="19" customFormat="1" ht="30" x14ac:dyDescent="0.25">
      <c r="A112" s="262" t="s">
        <v>470</v>
      </c>
      <c r="B112" s="244" t="s">
        <v>124</v>
      </c>
      <c r="C112" s="244"/>
      <c r="D112" s="245"/>
      <c r="E112" s="245" t="s">
        <v>101</v>
      </c>
      <c r="F112" s="247"/>
      <c r="G112" s="247"/>
      <c r="H112" s="247"/>
      <c r="I112" s="248"/>
      <c r="J112" s="248" t="s">
        <v>511</v>
      </c>
      <c r="K112" s="248"/>
      <c r="L112" s="247"/>
      <c r="M112" s="247"/>
      <c r="N112" s="247"/>
      <c r="O112" s="245" t="s">
        <v>145</v>
      </c>
      <c r="P112" s="228">
        <f t="shared" si="12"/>
        <v>215000</v>
      </c>
      <c r="Q112" s="229">
        <f t="shared" si="13"/>
        <v>215000</v>
      </c>
      <c r="R112" s="230">
        <f t="shared" si="14"/>
        <v>0</v>
      </c>
      <c r="S112" s="230">
        <f t="shared" si="15"/>
        <v>0</v>
      </c>
      <c r="T112" s="230">
        <f t="shared" si="16"/>
        <v>0</v>
      </c>
      <c r="U112" s="231">
        <f t="shared" si="17"/>
        <v>0</v>
      </c>
      <c r="V112" s="321">
        <v>215000</v>
      </c>
      <c r="W112" s="320"/>
      <c r="X112" s="250"/>
      <c r="Y112" s="321"/>
      <c r="Z112" s="320"/>
      <c r="AA112" s="252"/>
      <c r="AB112" s="469"/>
      <c r="AC112" s="470"/>
      <c r="AD112" s="471"/>
      <c r="AE112" s="472"/>
      <c r="AF112" s="470"/>
      <c r="AG112" s="471"/>
      <c r="AH112" s="472"/>
      <c r="AI112" s="470"/>
      <c r="AJ112" s="471"/>
      <c r="AK112" s="253"/>
      <c r="AL112" s="236" t="s">
        <v>401</v>
      </c>
      <c r="AM112" s="301"/>
      <c r="AN112" s="303"/>
      <c r="AO112" s="294">
        <v>27423</v>
      </c>
      <c r="AP112" s="221">
        <v>0</v>
      </c>
      <c r="AQ112" s="295">
        <v>0</v>
      </c>
      <c r="AR112" s="220" t="s">
        <v>512</v>
      </c>
    </row>
    <row r="113" spans="1:44" s="19" customFormat="1" ht="45" x14ac:dyDescent="0.25">
      <c r="A113" s="262" t="s">
        <v>470</v>
      </c>
      <c r="B113" s="244" t="s">
        <v>124</v>
      </c>
      <c r="C113" s="244"/>
      <c r="D113" s="245"/>
      <c r="E113" s="245" t="s">
        <v>101</v>
      </c>
      <c r="F113" s="247"/>
      <c r="G113" s="247"/>
      <c r="H113" s="247"/>
      <c r="I113" s="248"/>
      <c r="J113" s="248" t="s">
        <v>513</v>
      </c>
      <c r="K113" s="248"/>
      <c r="L113" s="247"/>
      <c r="M113" s="247"/>
      <c r="N113" s="247"/>
      <c r="O113" s="245" t="s">
        <v>145</v>
      </c>
      <c r="P113" s="228">
        <f t="shared" si="12"/>
        <v>160000</v>
      </c>
      <c r="Q113" s="229">
        <f t="shared" si="13"/>
        <v>160000</v>
      </c>
      <c r="R113" s="230">
        <f t="shared" si="14"/>
        <v>0</v>
      </c>
      <c r="S113" s="230">
        <f t="shared" si="15"/>
        <v>0</v>
      </c>
      <c r="T113" s="230">
        <f t="shared" si="16"/>
        <v>0</v>
      </c>
      <c r="U113" s="231">
        <f t="shared" si="17"/>
        <v>0</v>
      </c>
      <c r="V113" s="321">
        <v>160000</v>
      </c>
      <c r="W113" s="320"/>
      <c r="X113" s="250"/>
      <c r="Y113" s="321"/>
      <c r="Z113" s="320"/>
      <c r="AA113" s="252"/>
      <c r="AB113" s="469"/>
      <c r="AC113" s="470"/>
      <c r="AD113" s="471"/>
      <c r="AE113" s="472"/>
      <c r="AF113" s="470"/>
      <c r="AG113" s="471"/>
      <c r="AH113" s="472"/>
      <c r="AI113" s="470"/>
      <c r="AJ113" s="471"/>
      <c r="AK113" s="253"/>
      <c r="AL113" s="236" t="s">
        <v>132</v>
      </c>
      <c r="AM113" s="301" t="s">
        <v>490</v>
      </c>
      <c r="AN113" s="303"/>
      <c r="AO113" s="294">
        <v>15043</v>
      </c>
      <c r="AP113" s="221">
        <v>0</v>
      </c>
      <c r="AQ113" s="295">
        <v>0</v>
      </c>
      <c r="AR113" s="220" t="s">
        <v>512</v>
      </c>
    </row>
    <row r="114" spans="1:44" s="19" customFormat="1" ht="45" x14ac:dyDescent="0.25">
      <c r="A114" s="262" t="s">
        <v>470</v>
      </c>
      <c r="B114" s="244" t="s">
        <v>124</v>
      </c>
      <c r="C114" s="244"/>
      <c r="D114" s="245"/>
      <c r="E114" s="245" t="s">
        <v>101</v>
      </c>
      <c r="F114" s="247"/>
      <c r="G114" s="247"/>
      <c r="H114" s="247"/>
      <c r="I114" s="248"/>
      <c r="J114" s="248" t="s">
        <v>514</v>
      </c>
      <c r="K114" s="248"/>
      <c r="L114" s="247"/>
      <c r="M114" s="247"/>
      <c r="N114" s="247"/>
      <c r="O114" s="245" t="s">
        <v>145</v>
      </c>
      <c r="P114" s="228">
        <f t="shared" si="12"/>
        <v>16320</v>
      </c>
      <c r="Q114" s="229">
        <f t="shared" si="13"/>
        <v>16320</v>
      </c>
      <c r="R114" s="230">
        <f t="shared" si="14"/>
        <v>0</v>
      </c>
      <c r="S114" s="230">
        <f t="shared" si="15"/>
        <v>0</v>
      </c>
      <c r="T114" s="230">
        <f t="shared" si="16"/>
        <v>0</v>
      </c>
      <c r="U114" s="231">
        <f t="shared" si="17"/>
        <v>0</v>
      </c>
      <c r="V114" s="321">
        <v>16320</v>
      </c>
      <c r="W114" s="320"/>
      <c r="X114" s="250"/>
      <c r="Y114" s="321"/>
      <c r="Z114" s="320"/>
      <c r="AA114" s="252"/>
      <c r="AB114" s="469"/>
      <c r="AC114" s="470"/>
      <c r="AD114" s="471"/>
      <c r="AE114" s="472"/>
      <c r="AF114" s="470"/>
      <c r="AG114" s="471"/>
      <c r="AH114" s="472"/>
      <c r="AI114" s="470"/>
      <c r="AJ114" s="471"/>
      <c r="AK114" s="253"/>
      <c r="AL114" s="236" t="s">
        <v>132</v>
      </c>
      <c r="AM114" s="301" t="s">
        <v>490</v>
      </c>
      <c r="AN114" s="303"/>
      <c r="AO114" s="294">
        <v>16320</v>
      </c>
      <c r="AP114" s="221">
        <v>0</v>
      </c>
      <c r="AQ114" s="295">
        <v>0</v>
      </c>
      <c r="AR114" s="220" t="s">
        <v>515</v>
      </c>
    </row>
    <row r="115" spans="1:44" s="19" customFormat="1" ht="30" x14ac:dyDescent="0.25">
      <c r="A115" s="262" t="s">
        <v>470</v>
      </c>
      <c r="B115" s="244" t="s">
        <v>124</v>
      </c>
      <c r="C115" s="244"/>
      <c r="D115" s="245"/>
      <c r="E115" s="245" t="s">
        <v>101</v>
      </c>
      <c r="F115" s="247"/>
      <c r="G115" s="247"/>
      <c r="H115" s="247"/>
      <c r="I115" s="248"/>
      <c r="J115" s="248" t="s">
        <v>516</v>
      </c>
      <c r="K115" s="248"/>
      <c r="L115" s="247"/>
      <c r="M115" s="247"/>
      <c r="N115" s="247"/>
      <c r="O115" s="245" t="s">
        <v>145</v>
      </c>
      <c r="P115" s="228">
        <f t="shared" si="12"/>
        <v>150000</v>
      </c>
      <c r="Q115" s="229">
        <f t="shared" si="13"/>
        <v>150000</v>
      </c>
      <c r="R115" s="230">
        <f t="shared" si="14"/>
        <v>0</v>
      </c>
      <c r="S115" s="230">
        <f t="shared" si="15"/>
        <v>0</v>
      </c>
      <c r="T115" s="230">
        <f t="shared" si="16"/>
        <v>0</v>
      </c>
      <c r="U115" s="231">
        <f t="shared" si="17"/>
        <v>0</v>
      </c>
      <c r="V115" s="321">
        <v>150000</v>
      </c>
      <c r="W115" s="320"/>
      <c r="X115" s="250"/>
      <c r="Y115" s="321"/>
      <c r="Z115" s="320"/>
      <c r="AA115" s="252"/>
      <c r="AB115" s="469"/>
      <c r="AC115" s="470"/>
      <c r="AD115" s="471"/>
      <c r="AE115" s="472"/>
      <c r="AF115" s="470"/>
      <c r="AG115" s="471"/>
      <c r="AH115" s="472"/>
      <c r="AI115" s="470"/>
      <c r="AJ115" s="471"/>
      <c r="AK115" s="253"/>
      <c r="AL115" s="236"/>
      <c r="AM115" s="301"/>
      <c r="AN115" s="303"/>
      <c r="AO115" s="294">
        <v>0</v>
      </c>
      <c r="AP115" s="221">
        <v>0</v>
      </c>
      <c r="AQ115" s="295">
        <v>0</v>
      </c>
      <c r="AR115" s="220" t="s">
        <v>517</v>
      </c>
    </row>
    <row r="116" spans="1:44" s="19" customFormat="1" ht="30" x14ac:dyDescent="0.25">
      <c r="A116" s="262" t="s">
        <v>470</v>
      </c>
      <c r="B116" s="244" t="s">
        <v>124</v>
      </c>
      <c r="C116" s="244"/>
      <c r="D116" s="245"/>
      <c r="E116" s="245" t="s">
        <v>101</v>
      </c>
      <c r="F116" s="247"/>
      <c r="G116" s="247"/>
      <c r="H116" s="247"/>
      <c r="I116" s="248"/>
      <c r="J116" s="248" t="s">
        <v>518</v>
      </c>
      <c r="K116" s="248"/>
      <c r="L116" s="247"/>
      <c r="M116" s="247"/>
      <c r="N116" s="247"/>
      <c r="O116" s="245" t="s">
        <v>145</v>
      </c>
      <c r="P116" s="228">
        <f t="shared" si="12"/>
        <v>100000</v>
      </c>
      <c r="Q116" s="229">
        <f t="shared" si="13"/>
        <v>100000</v>
      </c>
      <c r="R116" s="230">
        <f t="shared" si="14"/>
        <v>0</v>
      </c>
      <c r="S116" s="230">
        <f t="shared" si="15"/>
        <v>0</v>
      </c>
      <c r="T116" s="230">
        <f t="shared" si="16"/>
        <v>0</v>
      </c>
      <c r="U116" s="231">
        <f t="shared" si="17"/>
        <v>0</v>
      </c>
      <c r="V116" s="321">
        <v>100000</v>
      </c>
      <c r="W116" s="320"/>
      <c r="X116" s="250"/>
      <c r="Y116" s="321"/>
      <c r="Z116" s="320"/>
      <c r="AA116" s="252"/>
      <c r="AB116" s="469"/>
      <c r="AC116" s="470"/>
      <c r="AD116" s="471"/>
      <c r="AE116" s="472"/>
      <c r="AF116" s="470"/>
      <c r="AG116" s="471"/>
      <c r="AH116" s="472"/>
      <c r="AI116" s="470"/>
      <c r="AJ116" s="471"/>
      <c r="AK116" s="253"/>
      <c r="AL116" s="236"/>
      <c r="AM116" s="301"/>
      <c r="AN116" s="303"/>
      <c r="AO116" s="294">
        <v>0</v>
      </c>
      <c r="AP116" s="221">
        <v>0</v>
      </c>
      <c r="AQ116" s="295">
        <v>0</v>
      </c>
      <c r="AR116" s="220" t="s">
        <v>519</v>
      </c>
    </row>
    <row r="117" spans="1:44" s="19" customFormat="1" ht="30" x14ac:dyDescent="0.25">
      <c r="A117" s="262" t="s">
        <v>470</v>
      </c>
      <c r="B117" s="244" t="s">
        <v>124</v>
      </c>
      <c r="C117" s="244"/>
      <c r="D117" s="245"/>
      <c r="E117" s="245" t="s">
        <v>101</v>
      </c>
      <c r="F117" s="247"/>
      <c r="G117" s="247"/>
      <c r="H117" s="247"/>
      <c r="I117" s="248"/>
      <c r="J117" s="248" t="s">
        <v>520</v>
      </c>
      <c r="K117" s="248"/>
      <c r="L117" s="247"/>
      <c r="M117" s="247"/>
      <c r="N117" s="247"/>
      <c r="O117" s="245" t="s">
        <v>145</v>
      </c>
      <c r="P117" s="228">
        <f t="shared" si="12"/>
        <v>500000</v>
      </c>
      <c r="Q117" s="229">
        <f t="shared" si="13"/>
        <v>500000</v>
      </c>
      <c r="R117" s="230">
        <f t="shared" si="14"/>
        <v>0</v>
      </c>
      <c r="S117" s="230">
        <f t="shared" si="15"/>
        <v>0</v>
      </c>
      <c r="T117" s="230">
        <f t="shared" si="16"/>
        <v>0</v>
      </c>
      <c r="U117" s="231">
        <f t="shared" si="17"/>
        <v>0</v>
      </c>
      <c r="V117" s="321">
        <v>500000</v>
      </c>
      <c r="W117" s="320"/>
      <c r="X117" s="250"/>
      <c r="Y117" s="321"/>
      <c r="Z117" s="320"/>
      <c r="AA117" s="252"/>
      <c r="AB117" s="469"/>
      <c r="AC117" s="470"/>
      <c r="AD117" s="471"/>
      <c r="AE117" s="472"/>
      <c r="AF117" s="470"/>
      <c r="AG117" s="471"/>
      <c r="AH117" s="472"/>
      <c r="AI117" s="470"/>
      <c r="AJ117" s="471"/>
      <c r="AK117" s="253"/>
      <c r="AL117" s="236"/>
      <c r="AM117" s="301"/>
      <c r="AN117" s="303"/>
      <c r="AO117" s="294">
        <v>313549</v>
      </c>
      <c r="AP117" s="221">
        <v>0</v>
      </c>
      <c r="AQ117" s="295">
        <v>1633</v>
      </c>
      <c r="AR117" s="220" t="s">
        <v>521</v>
      </c>
    </row>
    <row r="118" spans="1:44" s="19" customFormat="1" ht="45" x14ac:dyDescent="0.25">
      <c r="A118" s="262" t="s">
        <v>470</v>
      </c>
      <c r="B118" s="244" t="s">
        <v>124</v>
      </c>
      <c r="C118" s="244"/>
      <c r="D118" s="245"/>
      <c r="E118" s="245" t="s">
        <v>101</v>
      </c>
      <c r="F118" s="247"/>
      <c r="G118" s="247"/>
      <c r="H118" s="247"/>
      <c r="I118" s="248"/>
      <c r="J118" s="248" t="s">
        <v>522</v>
      </c>
      <c r="K118" s="248"/>
      <c r="L118" s="247"/>
      <c r="M118" s="247"/>
      <c r="N118" s="247"/>
      <c r="O118" s="245" t="s">
        <v>145</v>
      </c>
      <c r="P118" s="228">
        <f t="shared" si="12"/>
        <v>20000</v>
      </c>
      <c r="Q118" s="229">
        <f t="shared" si="13"/>
        <v>20000</v>
      </c>
      <c r="R118" s="230">
        <f t="shared" si="14"/>
        <v>0</v>
      </c>
      <c r="S118" s="230">
        <f t="shared" si="15"/>
        <v>0</v>
      </c>
      <c r="T118" s="230">
        <f t="shared" si="16"/>
        <v>0</v>
      </c>
      <c r="U118" s="231">
        <f t="shared" si="17"/>
        <v>0</v>
      </c>
      <c r="V118" s="321">
        <v>20000</v>
      </c>
      <c r="W118" s="320"/>
      <c r="X118" s="250"/>
      <c r="Y118" s="321"/>
      <c r="Z118" s="320"/>
      <c r="AA118" s="252"/>
      <c r="AB118" s="469"/>
      <c r="AC118" s="470"/>
      <c r="AD118" s="471"/>
      <c r="AE118" s="472"/>
      <c r="AF118" s="470"/>
      <c r="AG118" s="471"/>
      <c r="AH118" s="472"/>
      <c r="AI118" s="470"/>
      <c r="AJ118" s="471"/>
      <c r="AK118" s="253"/>
      <c r="AL118" s="236" t="s">
        <v>142</v>
      </c>
      <c r="AM118" s="301" t="s">
        <v>523</v>
      </c>
      <c r="AN118" s="303"/>
      <c r="AO118" s="294">
        <v>0</v>
      </c>
      <c r="AP118" s="221">
        <v>0</v>
      </c>
      <c r="AQ118" s="295">
        <v>0</v>
      </c>
      <c r="AR118" s="220" t="s">
        <v>524</v>
      </c>
    </row>
    <row r="119" spans="1:44" s="19" customFormat="1" ht="60" x14ac:dyDescent="0.25">
      <c r="A119" s="262" t="s">
        <v>470</v>
      </c>
      <c r="B119" s="244" t="s">
        <v>124</v>
      </c>
      <c r="C119" s="244"/>
      <c r="D119" s="245"/>
      <c r="E119" s="245" t="s">
        <v>101</v>
      </c>
      <c r="F119" s="247"/>
      <c r="G119" s="247"/>
      <c r="H119" s="247"/>
      <c r="I119" s="248"/>
      <c r="J119" s="248" t="s">
        <v>525</v>
      </c>
      <c r="K119" s="248"/>
      <c r="L119" s="247"/>
      <c r="M119" s="247"/>
      <c r="N119" s="247"/>
      <c r="O119" s="245" t="s">
        <v>283</v>
      </c>
      <c r="P119" s="228">
        <f t="shared" si="7"/>
        <v>222667</v>
      </c>
      <c r="Q119" s="229">
        <f t="shared" si="2"/>
        <v>222667</v>
      </c>
      <c r="R119" s="230">
        <f t="shared" si="8"/>
        <v>0</v>
      </c>
      <c r="S119" s="230">
        <f t="shared" si="9"/>
        <v>0</v>
      </c>
      <c r="T119" s="230">
        <f t="shared" si="10"/>
        <v>0</v>
      </c>
      <c r="U119" s="231">
        <f t="shared" si="11"/>
        <v>0</v>
      </c>
      <c r="V119" s="321">
        <v>222667</v>
      </c>
      <c r="W119" s="320"/>
      <c r="X119" s="250"/>
      <c r="Y119" s="321"/>
      <c r="Z119" s="320"/>
      <c r="AA119" s="252"/>
      <c r="AB119" s="469"/>
      <c r="AC119" s="470"/>
      <c r="AD119" s="471"/>
      <c r="AE119" s="472"/>
      <c r="AF119" s="470"/>
      <c r="AG119" s="471"/>
      <c r="AH119" s="472"/>
      <c r="AI119" s="470"/>
      <c r="AJ119" s="471"/>
      <c r="AK119" s="253"/>
      <c r="AL119" s="236" t="s">
        <v>142</v>
      </c>
      <c r="AM119" s="301" t="s">
        <v>523</v>
      </c>
      <c r="AN119" s="303"/>
      <c r="AO119" s="294">
        <v>222667</v>
      </c>
      <c r="AP119" s="221"/>
      <c r="AQ119" s="295"/>
      <c r="AR119" s="220" t="s">
        <v>526</v>
      </c>
    </row>
    <row r="120" spans="1:44" s="19" customFormat="1" ht="45" x14ac:dyDescent="0.25">
      <c r="A120" s="262" t="s">
        <v>470</v>
      </c>
      <c r="B120" s="244" t="s">
        <v>124</v>
      </c>
      <c r="C120" s="244"/>
      <c r="D120" s="245"/>
      <c r="E120" s="245" t="s">
        <v>101</v>
      </c>
      <c r="F120" s="247"/>
      <c r="G120" s="247"/>
      <c r="H120" s="247"/>
      <c r="I120" s="248"/>
      <c r="J120" s="248" t="s">
        <v>527</v>
      </c>
      <c r="K120" s="248"/>
      <c r="L120" s="247"/>
      <c r="M120" s="247"/>
      <c r="N120" s="247"/>
      <c r="O120" s="245" t="s">
        <v>145</v>
      </c>
      <c r="P120" s="228">
        <f t="shared" si="7"/>
        <v>83000</v>
      </c>
      <c r="Q120" s="229">
        <f t="shared" si="2"/>
        <v>83000</v>
      </c>
      <c r="R120" s="230">
        <f t="shared" si="8"/>
        <v>0</v>
      </c>
      <c r="S120" s="230">
        <f t="shared" si="9"/>
        <v>0</v>
      </c>
      <c r="T120" s="230">
        <f t="shared" si="10"/>
        <v>0</v>
      </c>
      <c r="U120" s="231">
        <f t="shared" si="11"/>
        <v>0</v>
      </c>
      <c r="V120" s="321">
        <v>83000</v>
      </c>
      <c r="W120" s="320"/>
      <c r="X120" s="250"/>
      <c r="Y120" s="321"/>
      <c r="Z120" s="320"/>
      <c r="AA120" s="252"/>
      <c r="AB120" s="469"/>
      <c r="AC120" s="470"/>
      <c r="AD120" s="471"/>
      <c r="AE120" s="472"/>
      <c r="AF120" s="470"/>
      <c r="AG120" s="471"/>
      <c r="AH120" s="472"/>
      <c r="AI120" s="470"/>
      <c r="AJ120" s="471"/>
      <c r="AK120" s="253"/>
      <c r="AL120" s="236" t="s">
        <v>142</v>
      </c>
      <c r="AM120" s="301" t="s">
        <v>523</v>
      </c>
      <c r="AN120" s="303"/>
      <c r="AO120" s="294">
        <v>19101</v>
      </c>
      <c r="AP120" s="221"/>
      <c r="AQ120" s="295"/>
      <c r="AR120" s="220" t="s">
        <v>512</v>
      </c>
    </row>
    <row r="121" spans="1:44" s="19" customFormat="1" ht="45" x14ac:dyDescent="0.25">
      <c r="A121" s="262" t="s">
        <v>470</v>
      </c>
      <c r="B121" s="244" t="s">
        <v>124</v>
      </c>
      <c r="C121" s="244"/>
      <c r="D121" s="245"/>
      <c r="E121" s="245" t="s">
        <v>101</v>
      </c>
      <c r="F121" s="247"/>
      <c r="G121" s="247"/>
      <c r="H121" s="247"/>
      <c r="I121" s="248"/>
      <c r="J121" s="248" t="s">
        <v>528</v>
      </c>
      <c r="K121" s="248"/>
      <c r="L121" s="247"/>
      <c r="M121" s="247"/>
      <c r="N121" s="247"/>
      <c r="O121" s="245" t="s">
        <v>145</v>
      </c>
      <c r="P121" s="228">
        <f t="shared" si="7"/>
        <v>69600</v>
      </c>
      <c r="Q121" s="229">
        <f t="shared" si="2"/>
        <v>69600</v>
      </c>
      <c r="R121" s="230">
        <f t="shared" si="8"/>
        <v>0</v>
      </c>
      <c r="S121" s="230">
        <f t="shared" si="9"/>
        <v>0</v>
      </c>
      <c r="T121" s="230">
        <f t="shared" si="10"/>
        <v>0</v>
      </c>
      <c r="U121" s="231">
        <f t="shared" si="11"/>
        <v>0</v>
      </c>
      <c r="V121" s="321">
        <v>69600</v>
      </c>
      <c r="W121" s="320"/>
      <c r="X121" s="250"/>
      <c r="Y121" s="321"/>
      <c r="Z121" s="320"/>
      <c r="AA121" s="252"/>
      <c r="AB121" s="469"/>
      <c r="AC121" s="470"/>
      <c r="AD121" s="471"/>
      <c r="AE121" s="472"/>
      <c r="AF121" s="470"/>
      <c r="AG121" s="471"/>
      <c r="AH121" s="472"/>
      <c r="AI121" s="470"/>
      <c r="AJ121" s="471"/>
      <c r="AK121" s="253"/>
      <c r="AL121" s="236" t="s">
        <v>142</v>
      </c>
      <c r="AM121" s="301" t="s">
        <v>523</v>
      </c>
      <c r="AN121" s="303"/>
      <c r="AO121" s="294">
        <v>61400</v>
      </c>
      <c r="AP121" s="221">
        <v>0</v>
      </c>
      <c r="AQ121" s="295">
        <v>0</v>
      </c>
      <c r="AR121" s="220" t="s">
        <v>529</v>
      </c>
    </row>
    <row r="122" spans="1:44" s="19" customFormat="1" ht="180" x14ac:dyDescent="0.25">
      <c r="A122" s="262" t="s">
        <v>530</v>
      </c>
      <c r="B122" s="244" t="s">
        <v>3</v>
      </c>
      <c r="C122" s="244"/>
      <c r="D122" s="245" t="s">
        <v>531</v>
      </c>
      <c r="E122" s="245" t="s">
        <v>101</v>
      </c>
      <c r="F122" s="247" t="s">
        <v>163</v>
      </c>
      <c r="G122" s="247" t="s">
        <v>139</v>
      </c>
      <c r="H122" s="247"/>
      <c r="I122" s="248" t="s">
        <v>213</v>
      </c>
      <c r="J122" s="248" t="s">
        <v>532</v>
      </c>
      <c r="K122" s="248" t="s">
        <v>533</v>
      </c>
      <c r="L122" s="247"/>
      <c r="M122" s="247"/>
      <c r="N122" s="247"/>
      <c r="O122" s="245" t="s">
        <v>109</v>
      </c>
      <c r="P122" s="228">
        <f t="shared" si="7"/>
        <v>603974</v>
      </c>
      <c r="Q122" s="229">
        <f t="shared" si="2"/>
        <v>51379</v>
      </c>
      <c r="R122" s="230">
        <f t="shared" si="8"/>
        <v>257896</v>
      </c>
      <c r="S122" s="230">
        <f t="shared" si="9"/>
        <v>113291</v>
      </c>
      <c r="T122" s="230">
        <f t="shared" si="10"/>
        <v>118956</v>
      </c>
      <c r="U122" s="231">
        <f t="shared" si="11"/>
        <v>62452</v>
      </c>
      <c r="V122" s="321"/>
      <c r="W122" s="320">
        <v>51379</v>
      </c>
      <c r="X122" s="250"/>
      <c r="Y122" s="321"/>
      <c r="Z122" s="320">
        <v>107896</v>
      </c>
      <c r="AA122" s="252">
        <v>150000</v>
      </c>
      <c r="AB122" s="469"/>
      <c r="AC122" s="470">
        <v>113291</v>
      </c>
      <c r="AD122" s="471"/>
      <c r="AE122" s="472"/>
      <c r="AF122" s="470">
        <v>118956</v>
      </c>
      <c r="AG122" s="471"/>
      <c r="AH122" s="472"/>
      <c r="AI122" s="470">
        <v>62452</v>
      </c>
      <c r="AJ122" s="471"/>
      <c r="AK122" s="253"/>
      <c r="AL122" s="236" t="s">
        <v>142</v>
      </c>
      <c r="AM122" s="301" t="s">
        <v>523</v>
      </c>
      <c r="AN122" s="303"/>
      <c r="AO122" s="294">
        <v>0</v>
      </c>
      <c r="AP122" s="221">
        <v>0</v>
      </c>
      <c r="AQ122" s="295">
        <v>0</v>
      </c>
      <c r="AR122" s="220" t="s">
        <v>534</v>
      </c>
    </row>
    <row r="123" spans="1:44" s="19" customFormat="1" ht="90" x14ac:dyDescent="0.25">
      <c r="A123" s="262" t="s">
        <v>470</v>
      </c>
      <c r="B123" s="244" t="s">
        <v>124</v>
      </c>
      <c r="C123" s="244"/>
      <c r="D123" s="245" t="s">
        <v>125</v>
      </c>
      <c r="E123" s="245" t="s">
        <v>101</v>
      </c>
      <c r="F123" s="247" t="s">
        <v>126</v>
      </c>
      <c r="G123" s="247" t="s">
        <v>127</v>
      </c>
      <c r="H123" s="247"/>
      <c r="I123" s="248" t="s">
        <v>128</v>
      </c>
      <c r="J123" s="248" t="s">
        <v>129</v>
      </c>
      <c r="K123" s="248" t="s">
        <v>320</v>
      </c>
      <c r="L123" s="247"/>
      <c r="M123" s="247"/>
      <c r="N123" s="247"/>
      <c r="O123" s="245" t="s">
        <v>109</v>
      </c>
      <c r="P123" s="228">
        <f t="shared" si="7"/>
        <v>176364</v>
      </c>
      <c r="Q123" s="229">
        <f t="shared" si="2"/>
        <v>20137</v>
      </c>
      <c r="R123" s="230">
        <f t="shared" si="8"/>
        <v>36246</v>
      </c>
      <c r="S123" s="230">
        <f t="shared" si="9"/>
        <v>38059</v>
      </c>
      <c r="T123" s="230">
        <f t="shared" si="10"/>
        <v>39962</v>
      </c>
      <c r="U123" s="231">
        <f t="shared" si="11"/>
        <v>41960</v>
      </c>
      <c r="V123" s="321"/>
      <c r="W123" s="320">
        <v>20137</v>
      </c>
      <c r="X123" s="250"/>
      <c r="Y123" s="321"/>
      <c r="Z123" s="320">
        <v>36246</v>
      </c>
      <c r="AA123" s="252"/>
      <c r="AB123" s="469"/>
      <c r="AC123" s="470">
        <v>38059</v>
      </c>
      <c r="AD123" s="471"/>
      <c r="AE123" s="472"/>
      <c r="AF123" s="470">
        <v>39962</v>
      </c>
      <c r="AG123" s="471"/>
      <c r="AH123" s="472"/>
      <c r="AI123" s="470">
        <v>41960</v>
      </c>
      <c r="AJ123" s="471"/>
      <c r="AK123" s="253"/>
      <c r="AL123" s="236" t="s">
        <v>132</v>
      </c>
      <c r="AM123" s="301" t="s">
        <v>490</v>
      </c>
      <c r="AN123" s="303"/>
      <c r="AO123" s="294">
        <v>0</v>
      </c>
      <c r="AP123" s="221">
        <v>9323.42</v>
      </c>
      <c r="AQ123" s="295">
        <v>0</v>
      </c>
      <c r="AR123" s="220" t="s">
        <v>321</v>
      </c>
    </row>
    <row r="124" spans="1:44" s="19" customFormat="1" ht="90" x14ac:dyDescent="0.25">
      <c r="A124" s="262" t="s">
        <v>470</v>
      </c>
      <c r="B124" s="244" t="s">
        <v>134</v>
      </c>
      <c r="C124" s="244"/>
      <c r="D124" s="245" t="s">
        <v>135</v>
      </c>
      <c r="E124" s="245" t="s">
        <v>101</v>
      </c>
      <c r="F124" s="247" t="s">
        <v>126</v>
      </c>
      <c r="G124" s="247" t="s">
        <v>127</v>
      </c>
      <c r="H124" s="247"/>
      <c r="I124" s="248" t="s">
        <v>322</v>
      </c>
      <c r="J124" s="248" t="s">
        <v>216</v>
      </c>
      <c r="K124" s="248" t="s">
        <v>323</v>
      </c>
      <c r="L124" s="247"/>
      <c r="M124" s="247"/>
      <c r="N124" s="247"/>
      <c r="O124" s="245" t="s">
        <v>109</v>
      </c>
      <c r="P124" s="228">
        <f t="shared" si="7"/>
        <v>240000</v>
      </c>
      <c r="Q124" s="229">
        <f t="shared" si="2"/>
        <v>40000</v>
      </c>
      <c r="R124" s="230">
        <f t="shared" si="8"/>
        <v>50000</v>
      </c>
      <c r="S124" s="230">
        <f t="shared" si="9"/>
        <v>50000</v>
      </c>
      <c r="T124" s="230">
        <f t="shared" si="10"/>
        <v>50000</v>
      </c>
      <c r="U124" s="231">
        <f t="shared" si="11"/>
        <v>50000</v>
      </c>
      <c r="V124" s="321"/>
      <c r="W124" s="320"/>
      <c r="X124" s="250">
        <v>40000</v>
      </c>
      <c r="Y124" s="321"/>
      <c r="Z124" s="320"/>
      <c r="AA124" s="252">
        <v>50000</v>
      </c>
      <c r="AB124" s="469"/>
      <c r="AC124" s="470"/>
      <c r="AD124" s="471">
        <v>50000</v>
      </c>
      <c r="AE124" s="472"/>
      <c r="AF124" s="470"/>
      <c r="AG124" s="471">
        <v>50000</v>
      </c>
      <c r="AH124" s="472"/>
      <c r="AI124" s="470"/>
      <c r="AJ124" s="471">
        <v>50000</v>
      </c>
      <c r="AK124" s="253"/>
      <c r="AL124" s="236" t="s">
        <v>142</v>
      </c>
      <c r="AM124" s="301" t="s">
        <v>523</v>
      </c>
      <c r="AN124" s="303"/>
      <c r="AO124" s="294">
        <v>0</v>
      </c>
      <c r="AP124" s="221">
        <v>0</v>
      </c>
      <c r="AQ124" s="295">
        <v>0</v>
      </c>
      <c r="AR124" s="220" t="s">
        <v>324</v>
      </c>
    </row>
    <row r="125" spans="1:44" s="19" customFormat="1" ht="210" x14ac:dyDescent="0.25">
      <c r="A125" s="262" t="s">
        <v>530</v>
      </c>
      <c r="B125" s="244" t="s">
        <v>3</v>
      </c>
      <c r="C125" s="244"/>
      <c r="D125" s="245" t="s">
        <v>217</v>
      </c>
      <c r="E125" s="245" t="s">
        <v>101</v>
      </c>
      <c r="F125" s="247" t="s">
        <v>126</v>
      </c>
      <c r="G125" s="247" t="s">
        <v>139</v>
      </c>
      <c r="H125" s="247"/>
      <c r="I125" s="248" t="s">
        <v>218</v>
      </c>
      <c r="J125" s="248" t="s">
        <v>219</v>
      </c>
      <c r="K125" s="248" t="s">
        <v>220</v>
      </c>
      <c r="L125" s="247"/>
      <c r="M125" s="247"/>
      <c r="N125" s="247"/>
      <c r="O125" s="245" t="s">
        <v>109</v>
      </c>
      <c r="P125" s="228">
        <f t="shared" si="7"/>
        <v>60000</v>
      </c>
      <c r="Q125" s="229">
        <f t="shared" si="2"/>
        <v>0</v>
      </c>
      <c r="R125" s="230">
        <f t="shared" si="8"/>
        <v>60000</v>
      </c>
      <c r="S125" s="230">
        <f t="shared" si="9"/>
        <v>0</v>
      </c>
      <c r="T125" s="230">
        <f t="shared" si="10"/>
        <v>0</v>
      </c>
      <c r="U125" s="231">
        <f t="shared" si="11"/>
        <v>0</v>
      </c>
      <c r="V125" s="321"/>
      <c r="W125" s="320"/>
      <c r="X125" s="250"/>
      <c r="Y125" s="321"/>
      <c r="Z125" s="320"/>
      <c r="AA125" s="252">
        <v>60000</v>
      </c>
      <c r="AB125" s="469"/>
      <c r="AC125" s="470"/>
      <c r="AD125" s="471"/>
      <c r="AE125" s="472"/>
      <c r="AF125" s="470"/>
      <c r="AG125" s="471"/>
      <c r="AH125" s="472"/>
      <c r="AI125" s="470"/>
      <c r="AJ125" s="471"/>
      <c r="AK125" s="253"/>
      <c r="AL125" s="236" t="s">
        <v>142</v>
      </c>
      <c r="AM125" s="301" t="s">
        <v>523</v>
      </c>
      <c r="AN125" s="303"/>
      <c r="AO125" s="294">
        <v>0</v>
      </c>
      <c r="AP125" s="221">
        <v>0</v>
      </c>
      <c r="AQ125" s="295">
        <v>0</v>
      </c>
      <c r="AR125" s="220" t="s">
        <v>535</v>
      </c>
    </row>
    <row r="126" spans="1:44" s="19" customFormat="1" ht="15.75" x14ac:dyDescent="0.25">
      <c r="A126" s="262"/>
      <c r="B126" s="244"/>
      <c r="C126" s="244"/>
      <c r="D126" s="245"/>
      <c r="E126" s="245"/>
      <c r="F126" s="247"/>
      <c r="G126" s="247"/>
      <c r="H126" s="247"/>
      <c r="I126" s="248"/>
      <c r="J126" s="248"/>
      <c r="K126" s="248"/>
      <c r="L126" s="247"/>
      <c r="M126" s="247"/>
      <c r="N126" s="247"/>
      <c r="O126" s="245"/>
      <c r="P126" s="228">
        <f t="shared" si="7"/>
        <v>0</v>
      </c>
      <c r="Q126" s="229">
        <f t="shared" si="2"/>
        <v>0</v>
      </c>
      <c r="R126" s="230">
        <f t="shared" si="8"/>
        <v>0</v>
      </c>
      <c r="S126" s="230">
        <f t="shared" si="9"/>
        <v>0</v>
      </c>
      <c r="T126" s="230">
        <f t="shared" si="10"/>
        <v>0</v>
      </c>
      <c r="U126" s="231">
        <f t="shared" si="11"/>
        <v>0</v>
      </c>
      <c r="V126" s="321"/>
      <c r="W126" s="320"/>
      <c r="X126" s="250"/>
      <c r="Y126" s="321"/>
      <c r="Z126" s="320"/>
      <c r="AA126" s="252"/>
      <c r="AB126" s="469"/>
      <c r="AC126" s="470"/>
      <c r="AD126" s="471"/>
      <c r="AE126" s="472"/>
      <c r="AF126" s="470"/>
      <c r="AG126" s="471"/>
      <c r="AH126" s="472"/>
      <c r="AI126" s="470"/>
      <c r="AJ126" s="471"/>
      <c r="AK126" s="253"/>
      <c r="AL126" s="236"/>
      <c r="AM126" s="301"/>
      <c r="AN126" s="303"/>
      <c r="AO126" s="294"/>
      <c r="AP126" s="221"/>
      <c r="AQ126" s="295"/>
      <c r="AR126" s="220"/>
    </row>
    <row r="127" spans="1:44" s="19" customFormat="1" ht="15.75" x14ac:dyDescent="0.25">
      <c r="A127" s="262"/>
      <c r="B127" s="244"/>
      <c r="C127" s="244"/>
      <c r="D127" s="245"/>
      <c r="E127" s="245"/>
      <c r="F127" s="247"/>
      <c r="G127" s="247"/>
      <c r="H127" s="247"/>
      <c r="I127" s="248"/>
      <c r="J127" s="248"/>
      <c r="K127" s="248"/>
      <c r="L127" s="247"/>
      <c r="M127" s="247"/>
      <c r="N127" s="247"/>
      <c r="O127" s="245"/>
      <c r="P127" s="228">
        <f t="shared" si="7"/>
        <v>0</v>
      </c>
      <c r="Q127" s="229">
        <f t="shared" si="2"/>
        <v>0</v>
      </c>
      <c r="R127" s="230">
        <f t="shared" si="8"/>
        <v>0</v>
      </c>
      <c r="S127" s="230">
        <f t="shared" si="9"/>
        <v>0</v>
      </c>
      <c r="T127" s="230">
        <f t="shared" si="10"/>
        <v>0</v>
      </c>
      <c r="U127" s="231">
        <f t="shared" si="11"/>
        <v>0</v>
      </c>
      <c r="V127" s="321"/>
      <c r="W127" s="320"/>
      <c r="X127" s="250"/>
      <c r="Y127" s="321"/>
      <c r="Z127" s="320"/>
      <c r="AA127" s="252"/>
      <c r="AB127" s="469"/>
      <c r="AC127" s="470"/>
      <c r="AD127" s="471"/>
      <c r="AE127" s="472"/>
      <c r="AF127" s="470"/>
      <c r="AG127" s="471"/>
      <c r="AH127" s="472"/>
      <c r="AI127" s="470"/>
      <c r="AJ127" s="471"/>
      <c r="AK127" s="253"/>
      <c r="AL127" s="236"/>
      <c r="AM127" s="301"/>
      <c r="AN127" s="303"/>
      <c r="AO127" s="294"/>
      <c r="AP127" s="221"/>
      <c r="AQ127" s="295"/>
      <c r="AR127" s="220"/>
    </row>
    <row r="128" spans="1:44" s="36" customFormat="1" ht="15.75" x14ac:dyDescent="0.25">
      <c r="A128" s="262"/>
      <c r="B128" s="244"/>
      <c r="C128" s="244"/>
      <c r="D128" s="245"/>
      <c r="E128" s="245"/>
      <c r="F128" s="245"/>
      <c r="G128" s="245"/>
      <c r="H128" s="245"/>
      <c r="I128" s="245"/>
      <c r="J128" s="261"/>
      <c r="K128" s="245"/>
      <c r="L128" s="245"/>
      <c r="M128" s="245"/>
      <c r="N128" s="245"/>
      <c r="O128" s="245"/>
      <c r="P128" s="228">
        <f t="shared" si="7"/>
        <v>0</v>
      </c>
      <c r="Q128" s="229">
        <f t="shared" si="2"/>
        <v>0</v>
      </c>
      <c r="R128" s="230">
        <f t="shared" si="8"/>
        <v>0</v>
      </c>
      <c r="S128" s="230">
        <f t="shared" si="9"/>
        <v>0</v>
      </c>
      <c r="T128" s="230">
        <f t="shared" si="10"/>
        <v>0</v>
      </c>
      <c r="U128" s="231">
        <f t="shared" si="11"/>
        <v>0</v>
      </c>
      <c r="V128" s="321"/>
      <c r="W128" s="320"/>
      <c r="X128" s="250"/>
      <c r="Y128" s="321"/>
      <c r="Z128" s="320"/>
      <c r="AA128" s="252"/>
      <c r="AB128" s="469"/>
      <c r="AC128" s="470"/>
      <c r="AD128" s="471"/>
      <c r="AE128" s="472"/>
      <c r="AF128" s="470"/>
      <c r="AG128" s="471"/>
      <c r="AH128" s="472"/>
      <c r="AI128" s="470"/>
      <c r="AJ128" s="471"/>
      <c r="AK128" s="254"/>
      <c r="AL128" s="255"/>
      <c r="AM128" s="246"/>
      <c r="AN128" s="304"/>
      <c r="AO128" s="294"/>
      <c r="AP128" s="221"/>
      <c r="AQ128" s="295"/>
      <c r="AR128" s="220"/>
    </row>
    <row r="129" spans="1:44" s="19" customFormat="1" ht="15.75" x14ac:dyDescent="0.25">
      <c r="A129" s="262"/>
      <c r="B129" s="244"/>
      <c r="C129" s="244"/>
      <c r="D129" s="245"/>
      <c r="E129" s="245"/>
      <c r="F129" s="247"/>
      <c r="G129" s="247"/>
      <c r="H129" s="247"/>
      <c r="I129" s="248"/>
      <c r="J129" s="263"/>
      <c r="K129" s="248"/>
      <c r="L129" s="247"/>
      <c r="M129" s="247"/>
      <c r="N129" s="247"/>
      <c r="O129" s="245"/>
      <c r="P129" s="228">
        <f t="shared" si="7"/>
        <v>0</v>
      </c>
      <c r="Q129" s="229">
        <f t="shared" si="2"/>
        <v>0</v>
      </c>
      <c r="R129" s="230">
        <f t="shared" si="8"/>
        <v>0</v>
      </c>
      <c r="S129" s="230">
        <f t="shared" si="9"/>
        <v>0</v>
      </c>
      <c r="T129" s="230">
        <f t="shared" si="10"/>
        <v>0</v>
      </c>
      <c r="U129" s="231">
        <f t="shared" si="11"/>
        <v>0</v>
      </c>
      <c r="V129" s="321"/>
      <c r="W129" s="320"/>
      <c r="X129" s="250"/>
      <c r="Y129" s="321"/>
      <c r="Z129" s="320"/>
      <c r="AA129" s="252"/>
      <c r="AB129" s="469"/>
      <c r="AC129" s="470"/>
      <c r="AD129" s="471"/>
      <c r="AE129" s="472"/>
      <c r="AF129" s="470"/>
      <c r="AG129" s="471"/>
      <c r="AH129" s="472"/>
      <c r="AI129" s="470"/>
      <c r="AJ129" s="471"/>
      <c r="AK129" s="253"/>
      <c r="AL129" s="236"/>
      <c r="AM129" s="301"/>
      <c r="AN129" s="303"/>
      <c r="AO129" s="294"/>
      <c r="AP129" s="221"/>
      <c r="AQ129" s="295"/>
      <c r="AR129" s="220"/>
    </row>
    <row r="130" spans="1:44" s="19" customFormat="1" ht="15.75" x14ac:dyDescent="0.25">
      <c r="A130" s="262"/>
      <c r="B130" s="244"/>
      <c r="C130" s="244"/>
      <c r="D130" s="245"/>
      <c r="E130" s="245"/>
      <c r="F130" s="247"/>
      <c r="G130" s="247"/>
      <c r="H130" s="247"/>
      <c r="I130" s="248"/>
      <c r="J130" s="263"/>
      <c r="K130" s="248"/>
      <c r="L130" s="247"/>
      <c r="M130" s="247"/>
      <c r="N130" s="247"/>
      <c r="O130" s="245"/>
      <c r="P130" s="228">
        <f t="shared" si="7"/>
        <v>0</v>
      </c>
      <c r="Q130" s="229">
        <f t="shared" si="2"/>
        <v>0</v>
      </c>
      <c r="R130" s="230">
        <f t="shared" si="8"/>
        <v>0</v>
      </c>
      <c r="S130" s="230">
        <f t="shared" si="9"/>
        <v>0</v>
      </c>
      <c r="T130" s="230">
        <f t="shared" si="10"/>
        <v>0</v>
      </c>
      <c r="U130" s="231">
        <f t="shared" si="11"/>
        <v>0</v>
      </c>
      <c r="V130" s="321"/>
      <c r="W130" s="320"/>
      <c r="X130" s="250"/>
      <c r="Y130" s="321"/>
      <c r="Z130" s="320"/>
      <c r="AA130" s="252"/>
      <c r="AB130" s="469"/>
      <c r="AC130" s="470"/>
      <c r="AD130" s="471"/>
      <c r="AE130" s="472"/>
      <c r="AF130" s="470"/>
      <c r="AG130" s="471"/>
      <c r="AH130" s="472"/>
      <c r="AI130" s="470"/>
      <c r="AJ130" s="471"/>
      <c r="AK130" s="253"/>
      <c r="AL130" s="236"/>
      <c r="AM130" s="301"/>
      <c r="AN130" s="303"/>
      <c r="AO130" s="294"/>
      <c r="AP130" s="221"/>
      <c r="AQ130" s="295"/>
      <c r="AR130" s="220"/>
    </row>
    <row r="131" spans="1:44" s="19" customFormat="1" ht="15.75" x14ac:dyDescent="0.25">
      <c r="A131" s="322"/>
      <c r="B131" s="256"/>
      <c r="C131" s="256"/>
      <c r="D131" s="257"/>
      <c r="E131" s="257"/>
      <c r="F131" s="247"/>
      <c r="G131" s="264"/>
      <c r="H131" s="323"/>
      <c r="I131" s="258"/>
      <c r="J131" s="265"/>
      <c r="K131" s="258"/>
      <c r="L131" s="323"/>
      <c r="M131" s="323"/>
      <c r="N131" s="323"/>
      <c r="O131" s="257"/>
      <c r="P131" s="228">
        <f t="shared" si="7"/>
        <v>0</v>
      </c>
      <c r="Q131" s="229">
        <f t="shared" si="2"/>
        <v>0</v>
      </c>
      <c r="R131" s="230">
        <f t="shared" si="8"/>
        <v>0</v>
      </c>
      <c r="S131" s="230">
        <f t="shared" si="9"/>
        <v>0</v>
      </c>
      <c r="T131" s="230">
        <f t="shared" si="10"/>
        <v>0</v>
      </c>
      <c r="U131" s="231">
        <f t="shared" si="11"/>
        <v>0</v>
      </c>
      <c r="V131" s="321"/>
      <c r="W131" s="320"/>
      <c r="X131" s="250"/>
      <c r="Y131" s="321"/>
      <c r="Z131" s="320"/>
      <c r="AA131" s="252"/>
      <c r="AB131" s="473"/>
      <c r="AC131" s="474"/>
      <c r="AD131" s="475"/>
      <c r="AE131" s="476"/>
      <c r="AF131" s="474"/>
      <c r="AG131" s="475"/>
      <c r="AH131" s="476"/>
      <c r="AI131" s="474"/>
      <c r="AJ131" s="474"/>
      <c r="AK131" s="259"/>
      <c r="AL131" s="260"/>
      <c r="AM131" s="302"/>
      <c r="AN131" s="303"/>
      <c r="AO131" s="296"/>
      <c r="AP131" s="293"/>
      <c r="AQ131" s="297"/>
      <c r="AR131" s="220"/>
    </row>
    <row r="132" spans="1:44" s="19" customFormat="1" ht="15.6" customHeight="1" thickBot="1" x14ac:dyDescent="0.3">
      <c r="A132" s="37"/>
      <c r="B132" s="29"/>
      <c r="C132" s="38"/>
      <c r="D132" s="38"/>
      <c r="E132" s="38"/>
      <c r="F132" s="38"/>
      <c r="G132" s="38"/>
      <c r="H132" s="38"/>
      <c r="I132" s="38"/>
      <c r="J132" s="29"/>
      <c r="K132" s="38"/>
      <c r="L132" s="38"/>
      <c r="M132" s="38"/>
      <c r="N132" s="38"/>
      <c r="O132" s="38"/>
      <c r="P132" s="20"/>
      <c r="Q132" s="201"/>
      <c r="R132" s="292"/>
      <c r="S132" s="292"/>
      <c r="T132" s="292"/>
      <c r="U132" s="314"/>
      <c r="V132" s="298"/>
      <c r="W132" s="299"/>
      <c r="X132" s="168"/>
      <c r="Y132" s="298"/>
      <c r="Z132" s="299"/>
      <c r="AA132" s="169"/>
      <c r="AB132" s="167"/>
      <c r="AC132" s="168"/>
      <c r="AD132" s="169"/>
      <c r="AE132" s="170"/>
      <c r="AF132" s="168"/>
      <c r="AG132" s="169"/>
      <c r="AH132" s="170"/>
      <c r="AI132" s="168"/>
      <c r="AJ132" s="168"/>
      <c r="AK132" s="206"/>
      <c r="AL132" s="205"/>
      <c r="AM132" s="206"/>
      <c r="AN132" s="205"/>
      <c r="AO132" s="298"/>
      <c r="AP132" s="299"/>
      <c r="AQ132" s="169"/>
      <c r="AR132" s="205"/>
    </row>
    <row r="133" spans="1:44" x14ac:dyDescent="0.25">
      <c r="J133"/>
    </row>
    <row r="134" spans="1:44" x14ac:dyDescent="0.25">
      <c r="F134" s="15"/>
      <c r="J134"/>
    </row>
    <row r="135" spans="1:44" x14ac:dyDescent="0.25">
      <c r="F135" s="14"/>
      <c r="J135"/>
      <c r="O135" s="14"/>
      <c r="P135" s="14"/>
    </row>
    <row r="136" spans="1:44" x14ac:dyDescent="0.25">
      <c r="F136" s="14"/>
      <c r="J136"/>
      <c r="O136" s="14"/>
      <c r="P136" s="14"/>
    </row>
    <row r="137" spans="1:44" x14ac:dyDescent="0.25">
      <c r="F137" s="14"/>
      <c r="J137"/>
      <c r="O137" s="14"/>
      <c r="P137" s="14"/>
    </row>
    <row r="138" spans="1:44" x14ac:dyDescent="0.25">
      <c r="F138" s="14"/>
      <c r="J138"/>
      <c r="O138" s="14"/>
      <c r="P138" s="14"/>
    </row>
    <row r="139" spans="1:44" x14ac:dyDescent="0.25">
      <c r="F139" s="14"/>
      <c r="J139"/>
      <c r="O139" s="14"/>
      <c r="P139" s="14"/>
    </row>
    <row r="140" spans="1:44" x14ac:dyDescent="0.25">
      <c r="F140" s="14"/>
      <c r="J140"/>
      <c r="O140" s="14"/>
      <c r="P140" s="14"/>
    </row>
    <row r="141" spans="1:44" x14ac:dyDescent="0.25">
      <c r="F141" s="14"/>
      <c r="J141"/>
      <c r="O141" s="14"/>
    </row>
    <row r="142" spans="1:44" x14ac:dyDescent="0.25">
      <c r="F142" s="14"/>
      <c r="J142"/>
    </row>
    <row r="143" spans="1:44" x14ac:dyDescent="0.25">
      <c r="F143" s="14"/>
      <c r="J143"/>
    </row>
    <row r="144" spans="1:44" x14ac:dyDescent="0.25">
      <c r="F144" s="14"/>
      <c r="J144"/>
    </row>
    <row r="145" spans="6:10" x14ac:dyDescent="0.25">
      <c r="F145" s="14"/>
      <c r="J145"/>
    </row>
    <row r="146" spans="6:10" x14ac:dyDescent="0.25">
      <c r="F146" s="14"/>
      <c r="J146"/>
    </row>
    <row r="147" spans="6:10" x14ac:dyDescent="0.25">
      <c r="F147" s="14"/>
      <c r="J147"/>
    </row>
    <row r="148" spans="6:10" x14ac:dyDescent="0.25">
      <c r="F148" s="14"/>
      <c r="J148"/>
    </row>
    <row r="149" spans="6:10" x14ac:dyDescent="0.25">
      <c r="F149" s="14"/>
      <c r="J149"/>
    </row>
    <row r="150" spans="6:10" x14ac:dyDescent="0.25">
      <c r="F150" s="14"/>
      <c r="J150"/>
    </row>
    <row r="151" spans="6:10" x14ac:dyDescent="0.25">
      <c r="F151" s="14"/>
      <c r="J151"/>
    </row>
    <row r="152" spans="6:10" x14ac:dyDescent="0.25">
      <c r="F152" s="14"/>
      <c r="J152"/>
    </row>
    <row r="153" spans="6:10" x14ac:dyDescent="0.25">
      <c r="F153" s="14"/>
      <c r="J153"/>
    </row>
    <row r="154" spans="6:10" x14ac:dyDescent="0.25">
      <c r="I154" s="3"/>
      <c r="J154"/>
    </row>
    <row r="155" spans="6:10" x14ac:dyDescent="0.25">
      <c r="H155" s="3"/>
      <c r="J155"/>
    </row>
  </sheetData>
  <sheetProtection algorithmName="SHA-512" hashValue="7Ht2h7OlkYeh9Jwbklsbw7TuS9OqjNGowQ++6F3Q1JNu/7gW+5lfbSybJ0HzVRDUT+JHDbgK1ClTmaMdacw6jA==" saltValue="YuILobgzXB4qA99YxuYbeg==" spinCount="100000" sheet="1" objects="1" scenarios="1"/>
  <mergeCells count="22">
    <mergeCell ref="AO32:AQ32"/>
    <mergeCell ref="AO33:AQ33"/>
    <mergeCell ref="K22:Q22"/>
    <mergeCell ref="B23:I23"/>
    <mergeCell ref="K23:Q23"/>
    <mergeCell ref="K25:Q25"/>
    <mergeCell ref="B26:I26"/>
    <mergeCell ref="K26:Q26"/>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128:AL131" xr:uid="{CA4B89F0-D22F-4B8D-9164-4A6A1F094AC1}">
      <formula1>$AL$37:$AL$39</formula1>
    </dataValidation>
    <dataValidation type="list" allowBlank="1" showInputMessage="1" showErrorMessage="1" sqref="AL132" xr:uid="{27A462FF-1E33-497F-93FF-47302DEF6B27}">
      <formula1>$AL$135:$AL$139</formula1>
    </dataValidation>
    <dataValidation type="list" allowBlank="1" showInputMessage="1" showErrorMessage="1" sqref="G35:G132" xr:uid="{9D04FCB4-CBA8-47F4-9F40-087056B86FCA}">
      <formula1>$G$135:$G$138</formula1>
    </dataValidation>
    <dataValidation type="list" allowBlank="1" showInputMessage="1" showErrorMessage="1" sqref="F35:F132" xr:uid="{5688C0C7-B0C9-407E-8442-265EC5E5FE4E}">
      <formula1>$F$135:$F$153</formula1>
    </dataValidation>
    <dataValidation type="list" allowBlank="1" showInputMessage="1" showErrorMessage="1" sqref="E35:E132" xr:uid="{2025EB9E-EEB3-4670-8C14-06C466A53E87}">
      <formula1>$E$135:$E$137</formula1>
    </dataValidation>
    <dataValidation type="list" allowBlank="1" showInputMessage="1" showErrorMessage="1" sqref="O35:O132" xr:uid="{85CB3776-0F40-4C30-8DD6-0012CABB02A5}">
      <formula1>$O$135:$O$141</formula1>
    </dataValidation>
    <dataValidation type="list" allowBlank="1" showInputMessage="1" showErrorMessage="1" sqref="AL73:AL119 AL35:AL71 AL125" xr:uid="{BA5FCC99-68C8-4A5E-9440-203A165E13C8}">
      <formula1>$AL$138:$AL$142</formula1>
    </dataValidation>
    <dataValidation type="list" allowBlank="1" showInputMessage="1" showErrorMessage="1" sqref="F155:F189 F31:F32" xr:uid="{03D7859E-A6E5-4C17-B004-E760432DB308}">
      <formula1>$F$3:$I$3</formula1>
    </dataValidation>
    <dataValidation type="list" allowBlank="1" showInputMessage="1" showErrorMessage="1" sqref="O156:O188 O31:O32 N154 M155"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sheetPr codeName="Leht3"/>
  <dimension ref="B1:AA298"/>
  <sheetViews>
    <sheetView tabSelected="1" topLeftCell="A285" zoomScaleNormal="100" workbookViewId="0">
      <selection activeCell="R10" sqref="R10"/>
    </sheetView>
  </sheetViews>
  <sheetFormatPr defaultColWidth="8.5703125" defaultRowHeight="15" x14ac:dyDescent="0.25"/>
  <cols>
    <col min="1" max="1" width="2.5703125" style="1" customWidth="1"/>
    <col min="2" max="2" width="18.7109375" style="1" customWidth="1"/>
    <col min="3" max="3" width="42.5703125" style="1" customWidth="1"/>
    <col min="4" max="4" width="23.85546875" style="1" customWidth="1"/>
    <col min="5" max="5" width="36.42578125" style="1" customWidth="1"/>
    <col min="6" max="6" width="11.28515625" style="1" customWidth="1"/>
    <col min="7" max="7" width="2" style="1" customWidth="1"/>
    <col min="8" max="8" width="2.42578125" style="1" customWidth="1"/>
    <col min="9" max="9" width="10.5703125" style="1" customWidth="1"/>
    <col min="10" max="10" width="13.42578125" style="1" customWidth="1"/>
    <col min="11" max="11" width="10.7109375" style="1" customWidth="1"/>
    <col min="12" max="12" width="7.7109375" style="1" customWidth="1"/>
    <col min="13" max="13" width="9.5703125" style="1" customWidth="1"/>
    <col min="14" max="14" width="8.5703125" style="1" customWidth="1"/>
    <col min="15" max="15" width="9.7109375" style="1" customWidth="1"/>
    <col min="16" max="16" width="4.5703125" style="1" customWidth="1"/>
    <col min="17" max="17" width="9.7109375" style="1" bestFit="1" customWidth="1"/>
    <col min="18" max="19" width="10.7109375" style="1" customWidth="1"/>
    <col min="20" max="20" width="10.42578125" style="1" customWidth="1"/>
    <col min="21" max="16384" width="8.5703125" style="1"/>
  </cols>
  <sheetData>
    <row r="1" spans="2:27" hidden="1" x14ac:dyDescent="0.25"/>
    <row r="2" spans="2:27" ht="15" customHeight="1" x14ac:dyDescent="0.25">
      <c r="B2" s="797" t="s">
        <v>728</v>
      </c>
      <c r="C2" s="797"/>
      <c r="D2" s="797"/>
      <c r="E2" s="797"/>
      <c r="F2" s="797"/>
      <c r="G2" s="797"/>
      <c r="H2" s="797"/>
      <c r="I2" s="797"/>
      <c r="J2" s="797"/>
      <c r="K2" s="797"/>
      <c r="L2" s="797"/>
      <c r="M2" s="797"/>
      <c r="N2" s="797"/>
      <c r="O2" s="797"/>
      <c r="P2" s="797"/>
    </row>
    <row r="3" spans="2:27" ht="6" customHeight="1" x14ac:dyDescent="0.25"/>
    <row r="4" spans="2:27" x14ac:dyDescent="0.25">
      <c r="B4" s="352" t="s">
        <v>536</v>
      </c>
      <c r="C4" s="156"/>
      <c r="D4" s="156"/>
      <c r="E4" s="156"/>
      <c r="F4" s="156"/>
      <c r="G4" s="156"/>
      <c r="H4" s="156"/>
      <c r="I4" s="156"/>
      <c r="J4" s="156"/>
      <c r="K4" s="156"/>
      <c r="L4" s="156"/>
      <c r="M4" s="156"/>
      <c r="N4" s="156"/>
      <c r="O4" s="156"/>
      <c r="P4" s="156"/>
    </row>
    <row r="5" spans="2:27" ht="12" customHeight="1" x14ac:dyDescent="0.25">
      <c r="B5" s="156"/>
      <c r="C5" s="156"/>
      <c r="D5" s="156"/>
      <c r="E5" s="156"/>
      <c r="F5" s="156"/>
      <c r="G5" s="156"/>
      <c r="H5" s="156"/>
      <c r="I5" s="156"/>
      <c r="J5" s="156"/>
      <c r="K5" s="156"/>
      <c r="L5" s="156"/>
      <c r="M5" s="156"/>
      <c r="N5" s="156"/>
      <c r="O5" s="156"/>
      <c r="P5" s="156"/>
    </row>
    <row r="6" spans="2:27" x14ac:dyDescent="0.25">
      <c r="B6" s="353" t="s">
        <v>537</v>
      </c>
      <c r="C6" s="156"/>
      <c r="D6" s="156"/>
      <c r="E6" s="156"/>
      <c r="F6" s="156"/>
      <c r="G6" s="156"/>
      <c r="H6" s="156"/>
      <c r="I6" s="156"/>
      <c r="J6" s="156"/>
      <c r="K6" s="156"/>
      <c r="L6" s="156"/>
      <c r="M6" s="156"/>
      <c r="N6" s="156"/>
      <c r="O6" s="156"/>
      <c r="P6" s="156"/>
    </row>
    <row r="7" spans="2:27" ht="74.45" customHeight="1" x14ac:dyDescent="0.25">
      <c r="B7" s="792" t="s">
        <v>538</v>
      </c>
      <c r="C7" s="793"/>
      <c r="D7" s="793"/>
      <c r="E7" s="793"/>
      <c r="F7" s="793"/>
      <c r="G7" s="793"/>
      <c r="H7" s="793"/>
      <c r="I7" s="793"/>
      <c r="J7" s="793"/>
      <c r="K7" s="793"/>
      <c r="L7" s="793"/>
      <c r="M7" s="793"/>
      <c r="N7" s="793"/>
      <c r="O7" s="793"/>
      <c r="P7" s="794"/>
      <c r="Q7" s="39"/>
      <c r="R7" s="39"/>
      <c r="S7" s="39"/>
      <c r="T7" s="39"/>
      <c r="U7" s="39"/>
    </row>
    <row r="8" spans="2:27" ht="11.45" customHeight="1" x14ac:dyDescent="0.25"/>
    <row r="9" spans="2:27" x14ac:dyDescent="0.25">
      <c r="B9" s="34" t="s">
        <v>539</v>
      </c>
    </row>
    <row r="10" spans="2:27" ht="11.1" customHeight="1" x14ac:dyDescent="0.25">
      <c r="B10" s="792"/>
      <c r="C10" s="795"/>
      <c r="D10" s="795"/>
      <c r="E10" s="795"/>
      <c r="F10" s="795"/>
      <c r="G10" s="795"/>
      <c r="H10" s="795"/>
      <c r="I10" s="795"/>
      <c r="J10" s="795"/>
      <c r="K10" s="795"/>
      <c r="L10" s="795"/>
      <c r="M10" s="795"/>
      <c r="N10" s="795"/>
      <c r="O10" s="795"/>
      <c r="P10" s="796"/>
      <c r="Q10" s="39"/>
      <c r="R10" s="39"/>
      <c r="S10" s="39"/>
      <c r="T10" s="39"/>
      <c r="U10" s="39"/>
    </row>
    <row r="12" spans="2:27" ht="15.75" thickBot="1" x14ac:dyDescent="0.3">
      <c r="B12" s="353" t="s">
        <v>540</v>
      </c>
      <c r="C12" s="156"/>
      <c r="D12" s="156"/>
      <c r="E12" s="156"/>
      <c r="F12" s="156"/>
      <c r="G12" s="72"/>
      <c r="H12" s="72"/>
      <c r="I12" s="72"/>
      <c r="J12" s="72"/>
      <c r="K12" s="184"/>
      <c r="L12" s="72"/>
      <c r="M12" s="72"/>
      <c r="N12" s="72"/>
      <c r="O12" s="72"/>
    </row>
    <row r="13" spans="2:27" ht="17.45" customHeight="1" thickBot="1" x14ac:dyDescent="0.3">
      <c r="B13" s="420"/>
      <c r="C13" s="421" t="s">
        <v>541</v>
      </c>
      <c r="D13" s="422" t="s">
        <v>542</v>
      </c>
      <c r="E13" s="423" t="s">
        <v>543</v>
      </c>
      <c r="F13" s="424">
        <v>2025</v>
      </c>
      <c r="G13" s="72"/>
      <c r="H13" s="72"/>
      <c r="I13" s="72"/>
      <c r="J13" s="72"/>
      <c r="K13" s="345"/>
      <c r="L13" s="346"/>
      <c r="M13" s="346"/>
      <c r="N13" s="346"/>
      <c r="O13" s="184"/>
    </row>
    <row r="14" spans="2:27" ht="17.45" customHeight="1" thickBot="1" x14ac:dyDescent="0.3">
      <c r="B14" s="425" t="s">
        <v>541</v>
      </c>
      <c r="C14" s="426">
        <f>SUM(D14:F14)</f>
        <v>28281162.949999999</v>
      </c>
      <c r="D14" s="427">
        <f>SUM(D15:D17)</f>
        <v>2536113</v>
      </c>
      <c r="E14" s="428">
        <f t="shared" ref="E14:F14" si="0">SUM(E15:E17)</f>
        <v>15826611.539999999</v>
      </c>
      <c r="F14" s="429">
        <f t="shared" si="0"/>
        <v>9918438.4100000001</v>
      </c>
      <c r="G14" s="72"/>
      <c r="H14" s="72"/>
      <c r="I14" s="72"/>
      <c r="J14" s="72"/>
      <c r="K14" s="347"/>
      <c r="L14" s="348"/>
      <c r="M14" s="349"/>
      <c r="N14" s="349"/>
      <c r="O14" s="349"/>
    </row>
    <row r="15" spans="2:27" ht="17.45" customHeight="1" x14ac:dyDescent="0.25">
      <c r="B15" s="430" t="s">
        <v>544</v>
      </c>
      <c r="C15" s="431">
        <f t="shared" ref="C15:C17" si="1">SUM(D15:F15)</f>
        <v>18776041.949999999</v>
      </c>
      <c r="D15" s="432" cm="1">
        <f t="array" ref="D15">SUM('kuni 2025 detsember tegevuskava'!X92:Z92+'kuni 2025 detsember tegevuskava'!X95:Z95+'kuni 2025 detsember tegevuskava'!X98:Z98+'kuni 2025 detsember tegevuskava'!X101:Z101)</f>
        <v>2517467</v>
      </c>
      <c r="E15" s="433" cm="1">
        <f t="array" ref="E15">SUM('kuni 2025 detsember tegevuskava'!AA92:AC92+'kuni 2025 detsember tegevuskava'!AA95:AC95+'kuni 2025 detsember tegevuskava'!AA98:AC98+'kuni 2025 detsember tegevuskava'!AA101:AC101)</f>
        <v>12243197.539999999</v>
      </c>
      <c r="F15" s="434" cm="1">
        <f t="array" ref="F15">SUM('kuni 2025 detsember tegevuskava'!AD92:AF92+'kuni 2025 detsember tegevuskava'!AD95:AF95+'kuni 2025 detsember tegevuskava'!AD98:AF98+'kuni 2025 detsember tegevuskava'!AD101:AF101)</f>
        <v>4015377.41</v>
      </c>
      <c r="G15" s="72"/>
      <c r="H15" s="72"/>
      <c r="I15" s="351"/>
      <c r="J15" s="72"/>
      <c r="K15" s="347"/>
      <c r="L15" s="348"/>
      <c r="M15" s="350"/>
      <c r="N15" s="350"/>
      <c r="O15" s="351"/>
      <c r="Q15" s="797"/>
      <c r="R15" s="797"/>
      <c r="S15" s="797"/>
      <c r="T15" s="797"/>
      <c r="U15" s="797"/>
      <c r="V15" s="797"/>
      <c r="W15" s="797"/>
      <c r="X15" s="797"/>
      <c r="Y15" s="797"/>
      <c r="Z15" s="797"/>
      <c r="AA15" s="797"/>
    </row>
    <row r="16" spans="2:27" ht="17.45" customHeight="1" x14ac:dyDescent="0.25">
      <c r="B16" s="435" t="s">
        <v>545</v>
      </c>
      <c r="C16" s="436">
        <f t="shared" si="1"/>
        <v>8582421</v>
      </c>
      <c r="D16" s="437" cm="1">
        <f t="array" ref="D16">SUM('kuni 2025 detsember tegevuskava'!X77:Z77+'kuni 2025 detsember tegevuskava'!X80:Z80+'kuni 2025 detsember tegevuskava'!X83:Z83+'kuni 2025 detsember tegevuskava'!X86:Z86)</f>
        <v>18646</v>
      </c>
      <c r="E16" s="438" cm="1">
        <f t="array" ref="E16">SUM('kuni 2025 detsember tegevuskava'!AA77:AC77+'kuni 2025 detsember tegevuskava'!AA80:AC80+'kuni 2025 detsember tegevuskava'!AA83:AC83+'kuni 2025 detsember tegevuskava'!AA86:AC86)</f>
        <v>3583414</v>
      </c>
      <c r="F16" s="439" cm="1">
        <f t="array" ref="F16">SUM('kuni 2025 detsember tegevuskava'!AD77:AF77+'kuni 2025 detsember tegevuskava'!AD80:AF80+'kuni 2025 detsember tegevuskava'!AD83:AF83+'kuni 2025 detsember tegevuskava'!AD86:AF86)</f>
        <v>4980361</v>
      </c>
      <c r="G16" s="72"/>
      <c r="H16" s="72"/>
      <c r="I16" s="351"/>
      <c r="J16" s="72"/>
      <c r="K16" s="347"/>
      <c r="L16" s="348"/>
      <c r="M16" s="350"/>
      <c r="N16" s="350"/>
      <c r="O16" s="351"/>
      <c r="Q16" s="797"/>
      <c r="R16" s="797"/>
      <c r="S16" s="797"/>
      <c r="T16" s="797"/>
      <c r="U16" s="797"/>
      <c r="V16" s="797"/>
      <c r="W16" s="797"/>
      <c r="X16" s="797"/>
      <c r="Y16" s="797"/>
      <c r="Z16" s="797"/>
      <c r="AA16" s="797"/>
    </row>
    <row r="17" spans="2:27" ht="17.45" customHeight="1" thickBot="1" x14ac:dyDescent="0.3">
      <c r="B17" s="440" t="s">
        <v>546</v>
      </c>
      <c r="C17" s="441">
        <f t="shared" si="1"/>
        <v>922700</v>
      </c>
      <c r="D17" s="442" cm="1">
        <f t="array" ref="D17">SUM('kuni 2025 detsember tegevuskava'!X107:Z107+'kuni 2025 detsember tegevuskava'!X110:Z110+'kuni 2025 detsember tegevuskava'!X113:Z113+'kuni 2025 detsember tegevuskava'!X116:Z116)</f>
        <v>0</v>
      </c>
      <c r="E17" s="443" cm="1">
        <f t="array" ref="E17">SUM('kuni 2025 detsember tegevuskava'!AA107:AC107+'kuni 2025 detsember tegevuskava'!AA110:AC110+'kuni 2025 detsember tegevuskava'!AA113:AC113+'kuni 2025 detsember tegevuskava'!AA116:AC116)</f>
        <v>0</v>
      </c>
      <c r="F17" s="444" cm="1">
        <f t="array" ref="F17">SUM('kuni 2025 detsember tegevuskava'!AD107:AF107+'kuni 2025 detsember tegevuskava'!AD110:AF110+'kuni 2025 detsember tegevuskava'!AD113:AF113+'kuni 2025 detsember tegevuskava'!AD116:AF116)</f>
        <v>922700</v>
      </c>
      <c r="G17" s="72"/>
      <c r="H17" s="72"/>
      <c r="I17" s="351"/>
      <c r="J17" s="72"/>
      <c r="K17" s="347"/>
      <c r="L17" s="348"/>
      <c r="M17" s="350"/>
      <c r="N17" s="350"/>
      <c r="O17" s="351"/>
      <c r="Q17" s="797"/>
      <c r="R17" s="797"/>
      <c r="S17" s="797"/>
      <c r="T17" s="797"/>
      <c r="U17" s="797"/>
      <c r="V17" s="797"/>
      <c r="W17" s="797"/>
      <c r="X17" s="797"/>
      <c r="Y17" s="797"/>
      <c r="Z17" s="797"/>
      <c r="AA17" s="797"/>
    </row>
    <row r="18" spans="2:27" ht="9" customHeight="1" x14ac:dyDescent="0.25">
      <c r="B18" s="156"/>
      <c r="C18" s="156"/>
      <c r="D18" s="156"/>
      <c r="E18" s="156"/>
      <c r="F18" s="156"/>
      <c r="G18" s="72"/>
      <c r="H18" s="72"/>
      <c r="I18" s="72"/>
      <c r="J18" s="72"/>
      <c r="K18" s="72"/>
      <c r="L18" s="72"/>
      <c r="M18" s="72"/>
      <c r="N18" s="72"/>
      <c r="O18" s="72"/>
    </row>
    <row r="19" spans="2:27" ht="28.5" customHeight="1" thickBot="1" x14ac:dyDescent="0.3">
      <c r="B19" s="353" t="s">
        <v>547</v>
      </c>
      <c r="C19" s="156"/>
      <c r="D19" s="156"/>
      <c r="E19" s="156"/>
      <c r="F19" s="156"/>
      <c r="G19" s="72"/>
      <c r="H19" s="72"/>
      <c r="I19" s="72"/>
      <c r="J19" s="798" t="s">
        <v>548</v>
      </c>
      <c r="K19" s="798"/>
      <c r="L19" s="798"/>
      <c r="M19" s="798"/>
      <c r="N19" s="798"/>
      <c r="O19" s="798"/>
      <c r="P19" s="798"/>
    </row>
    <row r="20" spans="2:27" ht="15.75" thickBot="1" x14ac:dyDescent="0.3">
      <c r="B20" s="420"/>
      <c r="C20" s="421" t="s">
        <v>541</v>
      </c>
      <c r="D20" s="422" t="s">
        <v>542</v>
      </c>
      <c r="E20" s="423" t="s">
        <v>543</v>
      </c>
      <c r="F20" s="424">
        <v>2025</v>
      </c>
      <c r="G20" s="72"/>
      <c r="H20" s="72"/>
      <c r="I20" s="72"/>
      <c r="J20" s="420"/>
      <c r="K20" s="421" t="s">
        <v>541</v>
      </c>
      <c r="L20" s="422" t="s">
        <v>542</v>
      </c>
      <c r="M20" s="423" t="s">
        <v>543</v>
      </c>
      <c r="N20" s="424">
        <v>2025</v>
      </c>
      <c r="O20" s="72"/>
    </row>
    <row r="21" spans="2:27" ht="15.75" thickBot="1" x14ac:dyDescent="0.3">
      <c r="B21" s="425" t="s">
        <v>541</v>
      </c>
      <c r="C21" s="426">
        <f>SUM(D21:F21)</f>
        <v>6364358.5</v>
      </c>
      <c r="D21" s="427">
        <f>SUM(D22:D24)</f>
        <v>2025190</v>
      </c>
      <c r="E21" s="428">
        <f t="shared" ref="E21:F21" si="2">SUM(E22:E24)</f>
        <v>384596</v>
      </c>
      <c r="F21" s="429">
        <f t="shared" si="2"/>
        <v>3954572.5</v>
      </c>
      <c r="G21" s="72"/>
      <c r="H21" s="72"/>
      <c r="I21" s="72"/>
      <c r="J21" s="425" t="s">
        <v>541</v>
      </c>
      <c r="K21" s="426">
        <f>SUM(L21:N21)</f>
        <v>15459924.949999999</v>
      </c>
      <c r="L21" s="427">
        <f>SUM(L22:L24)</f>
        <v>510923</v>
      </c>
      <c r="M21" s="428">
        <f t="shared" ref="M21:N21" si="3">SUM(M22:M24)</f>
        <v>8985136.0399999991</v>
      </c>
      <c r="N21" s="429">
        <f t="shared" si="3"/>
        <v>5963865.9100000001</v>
      </c>
      <c r="O21" s="72"/>
    </row>
    <row r="22" spans="2:27" ht="30" customHeight="1" x14ac:dyDescent="0.25">
      <c r="B22" s="430" t="s">
        <v>544</v>
      </c>
      <c r="C22" s="431">
        <f t="shared" ref="C22:C24" si="4">SUM(D22:F22)</f>
        <v>4901349.5</v>
      </c>
      <c r="D22" s="432" cm="1">
        <f t="array" ref="D22">SUM('kuni 2025 detsember tegevuskava'!X136:Z136+'kuni 2025 detsember tegevuskava'!X139:Z139+'kuni 2025 detsember tegevuskava'!X142:Z142+'kuni 2025 detsember tegevuskava'!X145:Z145)</f>
        <v>2015867</v>
      </c>
      <c r="E22" s="433" cm="1">
        <f t="array" ref="E22">SUM('kuni 2025 detsember tegevuskava'!AA136:AC136+'kuni 2025 detsember tegevuskava'!AA139:AC139+'kuni 2025 detsember tegevuskava'!AA139:AC139+'kuni 2025 detsember tegevuskava'!AA139:AC139)</f>
        <v>0</v>
      </c>
      <c r="F22" s="434" cm="1">
        <f t="array" ref="F22">SUM('kuni 2025 detsember tegevuskava'!AD136:AF136+'kuni 2025 detsember tegevuskava'!AD139:AF139+'kuni 2025 detsember tegevuskava'!AD142:AF142+'kuni 2025 detsember tegevuskava'!AD145:AF145)</f>
        <v>2885482.5</v>
      </c>
      <c r="G22" s="72"/>
      <c r="H22" s="72"/>
      <c r="I22" s="351"/>
      <c r="J22" s="430" t="s">
        <v>544</v>
      </c>
      <c r="K22" s="431">
        <f t="shared" ref="K22:K24" si="5">SUM(L22:N22)</f>
        <v>7417812.9500000002</v>
      </c>
      <c r="L22" s="432" cm="1">
        <f t="array" ref="L22">SUM('kuni 2025 detsember tegevuskava'!X180:Z180+'kuni 2025 detsember tegevuskava'!X183:Z183+'kuni 2025 detsember tegevuskava'!X186:Z186+'kuni 2025 detsember tegevuskava'!X189:Z189)</f>
        <v>501600</v>
      </c>
      <c r="M22" s="433" cm="1">
        <f t="array" ref="M22">SUM('kuni 2025 detsember tegevuskava'!AA180:AC180+'kuni 2025 detsember tegevuskava'!AA183:AC183+'kuni 2025 detsember tegevuskava'!AA186:AC186+'kuni 2025 detsember tegevuskava'!AA189:AC189)</f>
        <v>5786318.04</v>
      </c>
      <c r="N22" s="434" cm="1">
        <f t="array" ref="N22">SUM('kuni 2025 detsember tegevuskava'!AD180:AF180+'kuni 2025 detsember tegevuskava'!AD183:AF183+'kuni 2025 detsember tegevuskava'!AD186:AF186+'kuni 2025 detsember tegevuskava'!AD189:AF189)</f>
        <v>1129894.9099999999</v>
      </c>
      <c r="O22" s="72"/>
    </row>
    <row r="23" spans="2:27" ht="17.100000000000001" customHeight="1" x14ac:dyDescent="0.25">
      <c r="B23" s="435" t="s">
        <v>545</v>
      </c>
      <c r="C23" s="436">
        <f t="shared" si="4"/>
        <v>1463009</v>
      </c>
      <c r="D23" s="437" cm="1">
        <f t="array" ref="D23">SUM('kuni 2025 detsember tegevuskava'!X121:Z121+'kuni 2025 detsember tegevuskava'!X124:Z124+'kuni 2025 detsember tegevuskava'!X127:Z127+'kuni 2025 detsember tegevuskava'!X130:Z130)</f>
        <v>9323</v>
      </c>
      <c r="E23" s="438" cm="1">
        <f t="array" ref="E23">SUM('kuni 2025 detsember tegevuskava'!AA121:AC121+'kuni 2025 detsember tegevuskava'!AA124:AC124+'kuni 2025 detsember tegevuskava'!AA127:AC127+'kuni 2025 detsember tegevuskava'!AA130:AC130)</f>
        <v>384596</v>
      </c>
      <c r="F23" s="439" cm="1">
        <f t="array" ref="F23">SUM('kuni 2025 detsember tegevuskava'!AD121:AF121+'kuni 2025 detsember tegevuskava'!AD124:AF124+'kuni 2025 detsember tegevuskava'!AD127:AF127+'kuni 2025 detsember tegevuskava'!AD130:AF130)</f>
        <v>1069090</v>
      </c>
      <c r="G23" s="72"/>
      <c r="H23" s="72"/>
      <c r="I23" s="351"/>
      <c r="J23" s="435" t="s">
        <v>545</v>
      </c>
      <c r="K23" s="436">
        <f t="shared" si="5"/>
        <v>7119412</v>
      </c>
      <c r="L23" s="437" cm="1">
        <f t="array" ref="L23">SUM('kuni 2025 detsember tegevuskava'!X165:Z165+'kuni 2025 detsember tegevuskava'!X168:Z168+'kuni 2025 detsember tegevuskava'!X171:Z171+'kuni 2025 detsember tegevuskava'!X174:Z174)</f>
        <v>9323</v>
      </c>
      <c r="M23" s="438" cm="1">
        <f t="array" ref="M23">SUM('kuni 2025 detsember tegevuskava'!AA165:AC165+'kuni 2025 detsember tegevuskava'!AA168:AC168+'kuni 2025 detsember tegevuskava'!AA171:AC171+'kuni 2025 detsember tegevuskava'!AA174:AC174)</f>
        <v>3198818</v>
      </c>
      <c r="N23" s="439" cm="1">
        <f t="array" ref="N23">SUM('kuni 2025 detsember tegevuskava'!AD165:AF165+'kuni 2025 detsember tegevuskava'!AD168:AF168+'kuni 2025 detsember tegevuskava'!AD171:AF171+'kuni 2025 detsember tegevuskava'!AD174:AF174)</f>
        <v>3911271</v>
      </c>
      <c r="O23" s="72"/>
    </row>
    <row r="24" spans="2:27" ht="14.45" customHeight="1" thickBot="1" x14ac:dyDescent="0.3">
      <c r="B24" s="440" t="s">
        <v>546</v>
      </c>
      <c r="C24" s="441">
        <f t="shared" si="4"/>
        <v>0</v>
      </c>
      <c r="D24" s="442" cm="1">
        <f t="array" ref="D24">SUM('kuni 2025 detsember tegevuskava'!X151:Z151+'kuni 2025 detsember tegevuskava'!X154:Z154+'kuni 2025 detsember tegevuskava'!X157:Z157+'kuni 2025 detsember tegevuskava'!X160:Z160)</f>
        <v>0</v>
      </c>
      <c r="E24" s="443" cm="1">
        <f t="array" ref="E24">SUM('kuni 2025 detsember tegevuskava'!AA151:AC151+'kuni 2025 detsember tegevuskava'!AA154:AC154+'kuni 2025 detsember tegevuskava'!AA157:AC157+'kuni 2025 detsember tegevuskava'!AA160:AC160)</f>
        <v>0</v>
      </c>
      <c r="F24" s="444" cm="1">
        <f t="array" ref="F24">SUM('kuni 2025 detsember tegevuskava'!AD151:AF151+'kuni 2025 detsember tegevuskava'!AD154:AF154+'kuni 2025 detsember tegevuskava'!AD157:AF157+'kuni 2025 detsember tegevuskava'!AD160:AF160)</f>
        <v>0</v>
      </c>
      <c r="G24" s="72"/>
      <c r="H24" s="72"/>
      <c r="I24" s="351"/>
      <c r="J24" s="440" t="s">
        <v>546</v>
      </c>
      <c r="K24" s="441">
        <f t="shared" si="5"/>
        <v>922700</v>
      </c>
      <c r="L24" s="442" cm="1">
        <f t="array" ref="L24">SUM('kuni 2025 detsember tegevuskava'!X195:Z195+'kuni 2025 detsember tegevuskava'!X198:Z198+'kuni 2025 detsember tegevuskava'!X201:Z201+'kuni 2025 detsember tegevuskava'!X204:Z204)</f>
        <v>0</v>
      </c>
      <c r="M24" s="443" cm="1">
        <f t="array" ref="M24">SUM('kuni 2025 detsember tegevuskava'!AA195:AC195+'kuni 2025 detsember tegevuskava'!AA198:AC198+'kuni 2025 detsember tegevuskava'!AA201:AC201+'kuni 2025 detsember tegevuskava'!AA204:AC204)</f>
        <v>0</v>
      </c>
      <c r="N24" s="444" cm="1">
        <f t="array" ref="N24">SUM('kuni 2025 detsember tegevuskava'!AD195:AF195+'kuni 2025 detsember tegevuskava'!AD198:AF198+'kuni 2025 detsember tegevuskava'!AD201:AF201+'kuni 2025 detsember tegevuskava'!AD204:AF204)</f>
        <v>922700</v>
      </c>
      <c r="O24" s="72"/>
    </row>
    <row r="25" spans="2:27" ht="8.4499999999999993" customHeight="1" x14ac:dyDescent="0.25">
      <c r="B25" s="156"/>
      <c r="C25" s="156"/>
      <c r="D25" s="156"/>
      <c r="E25" s="156"/>
      <c r="F25" s="156"/>
      <c r="G25" s="72"/>
      <c r="H25" s="72"/>
      <c r="I25" s="72"/>
      <c r="J25" s="72"/>
      <c r="K25" s="72"/>
      <c r="L25" s="72"/>
      <c r="M25" s="72"/>
      <c r="N25" s="72"/>
      <c r="O25" s="72"/>
    </row>
    <row r="26" spans="2:27" ht="30" customHeight="1" thickBot="1" x14ac:dyDescent="0.3">
      <c r="B26" s="353" t="s">
        <v>549</v>
      </c>
      <c r="C26" s="156"/>
      <c r="D26" s="156"/>
      <c r="E26" s="156"/>
      <c r="F26" s="156"/>
      <c r="G26" s="72"/>
      <c r="H26" s="72"/>
      <c r="I26" s="72"/>
      <c r="J26" s="798" t="s">
        <v>550</v>
      </c>
      <c r="K26" s="798"/>
      <c r="L26" s="798"/>
      <c r="M26" s="798"/>
      <c r="N26" s="798"/>
      <c r="O26" s="72"/>
    </row>
    <row r="27" spans="2:27" ht="15.75" thickBot="1" x14ac:dyDescent="0.3">
      <c r="B27" s="420"/>
      <c r="C27" s="445" t="s">
        <v>541</v>
      </c>
      <c r="D27" s="446" t="s">
        <v>542</v>
      </c>
      <c r="E27" s="423" t="s">
        <v>543</v>
      </c>
      <c r="F27" s="421" t="s">
        <v>551</v>
      </c>
      <c r="G27" s="72"/>
      <c r="H27" s="72"/>
      <c r="I27" s="72"/>
      <c r="J27" s="420"/>
      <c r="K27" s="445" t="s">
        <v>541</v>
      </c>
      <c r="L27" s="446" t="s">
        <v>542</v>
      </c>
      <c r="M27" s="423" t="s">
        <v>543</v>
      </c>
      <c r="N27" s="421" t="s">
        <v>551</v>
      </c>
      <c r="O27" s="72"/>
    </row>
    <row r="28" spans="2:27" ht="15.75" thickBot="1" x14ac:dyDescent="0.3">
      <c r="B28" s="447" t="s">
        <v>545</v>
      </c>
      <c r="C28" s="448">
        <f>SUM(D28:F28)</f>
        <v>1709090</v>
      </c>
      <c r="D28" s="449">
        <f>SUM(D29:D32)</f>
        <v>9323</v>
      </c>
      <c r="E28" s="450">
        <f t="shared" ref="E28:F28" si="6">SUM(E29:E32)</f>
        <v>440916</v>
      </c>
      <c r="F28" s="451">
        <f t="shared" si="6"/>
        <v>1258851</v>
      </c>
      <c r="G28" s="72"/>
      <c r="H28" s="72"/>
      <c r="I28" s="72"/>
      <c r="J28" s="447" t="s">
        <v>545</v>
      </c>
      <c r="K28" s="448">
        <f>SUM(L28:N28)</f>
        <v>8350841.3200000003</v>
      </c>
      <c r="L28" s="449">
        <f>SUM(L29:L32)</f>
        <v>9323</v>
      </c>
      <c r="M28" s="450">
        <f t="shared" ref="M28:N28" si="7">SUM(M29:M32)</f>
        <v>3769779.6</v>
      </c>
      <c r="N28" s="451">
        <f t="shared" si="7"/>
        <v>4571738.72</v>
      </c>
      <c r="O28" s="72"/>
    </row>
    <row r="29" spans="2:27" ht="69" customHeight="1" x14ac:dyDescent="0.25">
      <c r="B29" s="452" t="s">
        <v>9</v>
      </c>
      <c r="C29" s="453">
        <f>SUM(D29:F29)</f>
        <v>1509687</v>
      </c>
      <c r="D29" s="454">
        <f>SUM('kuni 2025 detsember tegevuskava'!X122:Z122)</f>
        <v>0</v>
      </c>
      <c r="E29" s="455">
        <f>SUM('kuni 2025 detsember tegevuskava'!AA122:AC122)</f>
        <v>290976</v>
      </c>
      <c r="F29" s="456">
        <f>SUM('kuni 2025 detsember tegevuskava'!AD122:AF122)</f>
        <v>1218711</v>
      </c>
      <c r="G29" s="72"/>
      <c r="H29" s="72"/>
      <c r="I29" s="351"/>
      <c r="J29" s="452" t="s">
        <v>9</v>
      </c>
      <c r="K29" s="453">
        <f>SUM(L29:N29)</f>
        <v>7717302.3200000003</v>
      </c>
      <c r="L29" s="454">
        <f>SUM('kuni 2025 detsember tegevuskava'!X166:Z166)</f>
        <v>0</v>
      </c>
      <c r="M29" s="455">
        <f>SUM('kuni 2025 detsember tegevuskava'!AA166:AC166)</f>
        <v>3409503.6</v>
      </c>
      <c r="N29" s="456">
        <f>SUM('kuni 2025 detsember tegevuskava'!AD166:AF166)</f>
        <v>4307798.72</v>
      </c>
      <c r="O29" s="72"/>
    </row>
    <row r="30" spans="2:27" ht="80.45" customHeight="1" x14ac:dyDescent="0.25">
      <c r="B30" s="452" t="s">
        <v>552</v>
      </c>
      <c r="C30" s="457">
        <f t="shared" ref="C30:C32" si="8">SUM(D30:F30)</f>
        <v>0</v>
      </c>
      <c r="D30" s="458">
        <f>SUM('kuni 2025 detsember tegevuskava'!X125:Z125)</f>
        <v>0</v>
      </c>
      <c r="E30" s="459">
        <f>SUM('kuni 2025 detsember tegevuskava'!AA125:AC125)</f>
        <v>0</v>
      </c>
      <c r="F30" s="460">
        <f>SUM('kuni 2025 detsember tegevuskava'!AD125:AF125)</f>
        <v>0</v>
      </c>
      <c r="G30" s="72"/>
      <c r="H30" s="72"/>
      <c r="I30" s="351"/>
      <c r="J30" s="452" t="s">
        <v>552</v>
      </c>
      <c r="K30" s="457">
        <f t="shared" ref="K30:K32" si="9">SUM(L30:N30)</f>
        <v>0</v>
      </c>
      <c r="L30" s="458">
        <f>SUM('kuni 2025 detsember tegevuskava'!X169:Z169)</f>
        <v>0</v>
      </c>
      <c r="M30" s="459">
        <f>SUM('kuni 2025 detsember tegevuskava'!AA169:AC169)</f>
        <v>0</v>
      </c>
      <c r="N30" s="460">
        <f>SUM('kuni 2025 detsember tegevuskava'!AD169:AF169)</f>
        <v>0</v>
      </c>
      <c r="O30" s="72"/>
    </row>
    <row r="31" spans="2:27" ht="165.95" customHeight="1" x14ac:dyDescent="0.25">
      <c r="B31" s="452" t="s">
        <v>553</v>
      </c>
      <c r="C31" s="457">
        <f t="shared" si="8"/>
        <v>199403</v>
      </c>
      <c r="D31" s="458">
        <f>SUM('kuni 2025 detsember tegevuskava'!X128:Z128)</f>
        <v>9323</v>
      </c>
      <c r="E31" s="459">
        <f>SUM('kuni 2025 detsember tegevuskava'!AA128:AC128)</f>
        <v>149940</v>
      </c>
      <c r="F31" s="460">
        <f>SUM('kuni 2025 detsember tegevuskava'!AD128:AF128)</f>
        <v>40140</v>
      </c>
      <c r="G31" s="72"/>
      <c r="H31" s="72"/>
      <c r="I31" s="351"/>
      <c r="J31" s="452" t="s">
        <v>553</v>
      </c>
      <c r="K31" s="457">
        <f t="shared" si="9"/>
        <v>199403</v>
      </c>
      <c r="L31" s="458">
        <f>SUM('kuni 2025 detsember tegevuskava'!X172:Z172)</f>
        <v>9323</v>
      </c>
      <c r="M31" s="459">
        <f>SUM('kuni 2025 detsember tegevuskava'!AA172:AC172)</f>
        <v>149940</v>
      </c>
      <c r="N31" s="460">
        <f>SUM('kuni 2025 detsember tegevuskava'!AD172:AF172)</f>
        <v>40140</v>
      </c>
      <c r="O31" s="72"/>
    </row>
    <row r="32" spans="2:27" ht="103.5" customHeight="1" thickBot="1" x14ac:dyDescent="0.3">
      <c r="B32" s="461" t="s">
        <v>554</v>
      </c>
      <c r="C32" s="462">
        <f t="shared" si="8"/>
        <v>0</v>
      </c>
      <c r="D32" s="463">
        <f>SUM('kuni 2025 detsember tegevuskava'!X131:Z131)</f>
        <v>0</v>
      </c>
      <c r="E32" s="464">
        <f>SUM('kuni 2025 detsember tegevuskava'!AA131:AC131)</f>
        <v>0</v>
      </c>
      <c r="F32" s="465">
        <f>SUM('kuni 2025 detsember tegevuskava'!AD131:AF131)</f>
        <v>0</v>
      </c>
      <c r="G32" s="72"/>
      <c r="H32" s="72"/>
      <c r="I32" s="351"/>
      <c r="J32" s="461" t="s">
        <v>554</v>
      </c>
      <c r="K32" s="462">
        <f t="shared" si="9"/>
        <v>434136</v>
      </c>
      <c r="L32" s="463">
        <f>SUM('kuni 2025 detsember tegevuskava'!X175:Z175)</f>
        <v>0</v>
      </c>
      <c r="M32" s="464">
        <f>SUM('kuni 2025 detsember tegevuskava'!AA175:AC175)</f>
        <v>210336</v>
      </c>
      <c r="N32" s="465">
        <f>SUM('kuni 2025 detsember tegevuskava'!AD175:AF175)</f>
        <v>223800</v>
      </c>
      <c r="O32" s="72"/>
    </row>
    <row r="34" spans="2:17" ht="15.75" thickBot="1" x14ac:dyDescent="0.3"/>
    <row r="35" spans="2:17" ht="30.6" customHeight="1" x14ac:dyDescent="0.25">
      <c r="B35" s="778" t="s">
        <v>555</v>
      </c>
      <c r="C35" s="780" t="s">
        <v>64</v>
      </c>
      <c r="D35" s="780" t="s">
        <v>65</v>
      </c>
      <c r="E35" s="157" t="s">
        <v>66</v>
      </c>
      <c r="F35" s="788" t="s">
        <v>556</v>
      </c>
      <c r="G35" s="789"/>
      <c r="H35" s="790"/>
      <c r="I35" s="784" t="s">
        <v>71</v>
      </c>
      <c r="J35" s="785"/>
      <c r="K35" s="784" t="s">
        <v>557</v>
      </c>
      <c r="L35" s="785"/>
      <c r="M35" s="784" t="s">
        <v>558</v>
      </c>
      <c r="N35" s="785"/>
      <c r="O35" s="784" t="s">
        <v>559</v>
      </c>
      <c r="P35" s="786"/>
    </row>
    <row r="36" spans="2:17" ht="15.75" thickBot="1" x14ac:dyDescent="0.3">
      <c r="B36" s="779"/>
      <c r="C36" s="781"/>
      <c r="D36" s="781"/>
      <c r="E36" s="56"/>
      <c r="F36" s="724"/>
      <c r="G36" s="724"/>
      <c r="H36" s="791"/>
      <c r="I36" s="782" t="s">
        <v>560</v>
      </c>
      <c r="J36" s="783"/>
      <c r="K36" s="782" t="s">
        <v>560</v>
      </c>
      <c r="L36" s="783"/>
      <c r="M36" s="782" t="s">
        <v>560</v>
      </c>
      <c r="N36" s="783"/>
      <c r="O36" s="782" t="s">
        <v>560</v>
      </c>
      <c r="P36" s="787"/>
    </row>
    <row r="37" spans="2:17" ht="15.75" thickBot="1" x14ac:dyDescent="0.3">
      <c r="B37" s="136" t="s">
        <v>561</v>
      </c>
      <c r="C37" s="137"/>
      <c r="D37" s="137"/>
      <c r="E37" s="137"/>
      <c r="F37" s="138"/>
      <c r="G37" s="139"/>
      <c r="H37" s="140"/>
      <c r="I37" s="133">
        <f>SUM(I38:I40)</f>
        <v>36112306.949999996</v>
      </c>
      <c r="J37" s="127"/>
      <c r="K37" s="128">
        <f>SUM(K38:K40)</f>
        <v>4551980</v>
      </c>
      <c r="L37" s="129"/>
      <c r="M37" s="128">
        <f>SUM(M38:M40)</f>
        <v>19093656.039999999</v>
      </c>
      <c r="N37" s="127"/>
      <c r="O37" s="128">
        <f>SUM(O38:O40)</f>
        <v>12466670.91</v>
      </c>
      <c r="P37" s="130"/>
    </row>
    <row r="38" spans="2:17" x14ac:dyDescent="0.25">
      <c r="B38" s="141"/>
      <c r="C38" s="8"/>
      <c r="D38" s="8"/>
      <c r="E38" s="8"/>
      <c r="F38" s="131"/>
      <c r="G38" s="8"/>
      <c r="H38" s="142"/>
      <c r="I38" s="116">
        <f>SUM(I42+I49+I56+I73+I82+I91+I96+I103+I110+I119+I128+I135+I142+I149+I156+I163+I170+I177+I182+I189+I218+I225+I232+I241+I250)</f>
        <v>27297296.259999998</v>
      </c>
      <c r="J38" s="115" t="str">
        <f>"(15)"</f>
        <v>(15)</v>
      </c>
      <c r="K38" s="57">
        <f>SUM(K42+K49+K56+K73+K82+K91+K96+K103+K110+K119+K128+K135+K142+K149+K156+K163+K170+K177+K182+K189+K218+K225+K232+K241+K250)</f>
        <v>3389600</v>
      </c>
      <c r="L38" s="115" t="str">
        <f>"(15)"</f>
        <v>(15)</v>
      </c>
      <c r="M38" s="57">
        <f>SUM(M42+M49+M56+M73+M82+M91+M96+M103+M110+M119+M128+M135+M142+M149+M156+M163+M170+M177+M182+M189+M218+M225+M232+M241+M250)</f>
        <v>14535364.039999999</v>
      </c>
      <c r="N38" s="115" t="str">
        <f>"(15)"</f>
        <v>(15)</v>
      </c>
      <c r="O38" s="57">
        <f>SUM(O42+O49+O56+O73+O82+O91+O96+O103+O110+O119+O128+O135+O142+O149+O156+O163+O170+O177+O182+O189+O218+O225+O232+O241+O250)</f>
        <v>9372332.2200000007</v>
      </c>
      <c r="P38" s="63" t="str">
        <f>"(15)"</f>
        <v>(15)</v>
      </c>
      <c r="Q38" s="213"/>
    </row>
    <row r="39" spans="2:17" ht="17.25" x14ac:dyDescent="0.25">
      <c r="B39" s="132"/>
      <c r="C39" s="8"/>
      <c r="D39" s="8"/>
      <c r="E39" s="8"/>
      <c r="F39" s="131"/>
      <c r="G39" s="8"/>
      <c r="H39" s="158"/>
      <c r="I39" s="116">
        <f>SUM(I43+I50+I57+I63+I74+I83+I97+I104+I111+I120+I129+I136+I143+I150+I157+I164+I171+I183+I190+I196+I203+I219+I226+I233+I242+I251+I257)</f>
        <v>7790029</v>
      </c>
      <c r="J39" s="115" t="str">
        <f>"(50)"</f>
        <v>(50)</v>
      </c>
      <c r="K39" s="57">
        <f>SUM(K43+K50+K57+K63+K74+K83+K97+K104+K111+K120+K129+K136+K143+K150+K157+K164+K171+K183+K190+K196+K203+K219+K226+K233+K242+K251+K257)</f>
        <v>1035346</v>
      </c>
      <c r="L39" s="115" t="str">
        <f>"(50)"</f>
        <v>(50)</v>
      </c>
      <c r="M39" s="57">
        <f>SUM(M43+M50+M57+M63+M74+M83+M97+M104+M111+M120+M129+M136+M143+M150+M157+M164+M171+M183+M190+M196+M203+M219+M226+M233+M242+M251+M257)</f>
        <v>4054243</v>
      </c>
      <c r="N39" s="115" t="str">
        <f>"(50)"</f>
        <v>(50)</v>
      </c>
      <c r="O39" s="57">
        <f>SUM(O43+O50+O57+O63+O74+O83+O97+O104+O111+O120+O129+O136+O143+O150+O157+O164+O171+O183+O190+O196+O203+O219+O226+O233+O242+O251+O257)</f>
        <v>2700440</v>
      </c>
      <c r="P39" s="63" t="str">
        <f>"(50)"</f>
        <v>(50)</v>
      </c>
      <c r="Q39" s="213"/>
    </row>
    <row r="40" spans="2:17" ht="18" thickBot="1" x14ac:dyDescent="0.3">
      <c r="B40" s="132"/>
      <c r="C40" s="8"/>
      <c r="D40" s="8"/>
      <c r="E40" s="8"/>
      <c r="F40" s="131"/>
      <c r="G40" s="8"/>
      <c r="H40" s="158"/>
      <c r="I40" s="116">
        <f>SUM(I68+I75+I84+I112+I121+I197+I208+I213+I234+I243+I258)</f>
        <v>1024981.69</v>
      </c>
      <c r="J40" s="115" t="str">
        <f>"(55)"</f>
        <v>(55)</v>
      </c>
      <c r="K40" s="57">
        <f>SUM(K68+K75+K84+K112+K121+K197+K208+K213+K234+K243+K258)</f>
        <v>127034</v>
      </c>
      <c r="L40" s="115" t="str">
        <f>"(55)"</f>
        <v>(55)</v>
      </c>
      <c r="M40" s="57">
        <f>SUM(M68+M75+M84+M112+M121+M197+M208+M213+M234+M243+M258)</f>
        <v>504049</v>
      </c>
      <c r="N40" s="115" t="str">
        <f>"(55)"</f>
        <v>(55)</v>
      </c>
      <c r="O40" s="57">
        <f>SUM(O68+O75+O84+O112+O121+O197+O208+O213+O234+O243+O258)</f>
        <v>393898.69</v>
      </c>
      <c r="P40" s="63" t="str">
        <f>"(55)"</f>
        <v>(55)</v>
      </c>
      <c r="Q40" s="213"/>
    </row>
    <row r="41" spans="2:17" ht="14.65" customHeight="1" x14ac:dyDescent="0.25">
      <c r="B41" s="774" t="str">
        <f>'kuni 2025 detsember tegevuskava'!A35&amp;"/"&amp;'kuni 2025 detsember tegevuskava'!C35</f>
        <v>SOM/TEHIK/SKA</v>
      </c>
      <c r="C41" s="770" t="str">
        <f>'kuni 2025 detsember tegevuskava'!I35</f>
        <v>Isikustatud sotsiaalmaksu alusel arvutatavate komponentide arv on ajas kasvanud ning sellest lähtuvalt pensioni ning teiste sotsiaalvaldkonna hüvitiste  arvutamise keerukus suurenenud. Täna puudub inimesel kasutajasõbralik iseteeninduse vaade isikustatud sotsiaalmaksu andmete vaatamiseks ning sellest tulenevalt ka planeerida oma valikuid</v>
      </c>
      <c r="D41" s="770" t="str">
        <f>'kuni 2025 detsember tegevuskava'!J35</f>
        <v>Isikustatud sotsiaalmaksu analüüs</v>
      </c>
      <c r="E41" s="770" t="str">
        <f>'kuni 2025 detsember tegevuskava'!K35</f>
        <v>2024 aastal valmib eelanalüüs mis on sisendiks 2024 arendusele. 2025 valmib arendus</v>
      </c>
      <c r="F41" s="770" t="str">
        <f>'kuni 2025 detsember tegevuskava'!P35&amp;"/"</f>
        <v>SF 21-27 (taotletav raha)/</v>
      </c>
      <c r="G41" s="716" cm="1">
        <f t="array" ref="G41">_xlfn.IFS('kuni 2025 detsember tegevuskava'!G35='kuni 2025 detsember tegevuskava'!$G$77,1,'kuni 2025 detsember tegevuskava'!G35='kuni 2025 detsember tegevuskava'!$G$78,2,'kuni 2025 detsember tegevuskava'!G35='kuni 2025 detsember tegevuskava'!$G$79,3,'kuni 2025 detsember tegevuskava'!G35='kuni 2025 detsember tegevuskava'!$G$80,4)</f>
        <v>1</v>
      </c>
      <c r="H41" s="160" cm="1">
        <f t="array" ref="H41">_xlfn.IFS(OR('kuni 2025 detsember tegevuskava'!P35='kuni 2025 detsember tegevuskava'!$P$77,'kuni 2025 detsember tegevuskava'!P35='kuni 2025 detsember tegevuskava'!$P$79,'kuni 2025 detsember tegevuskava'!P35='kuni 2025 detsember tegevuskava'!$P$80,'kuni 2025 detsember tegevuskava'!P35='kuni 2025 detsember tegevuskava'!$P$81),1,'kuni 2025 detsember tegevuskava'!P35='kuni 2025 detsember tegevuskava'!$P$82,2,'kuni 2025 detsember tegevuskava'!P35='kuni 2025 detsember tegevuskava'!$P$83,2,'kuni 2025 detsember tegevuskava'!P35='kuni 2025 detsember tegevuskava'!$P$78,3)</f>
        <v>2</v>
      </c>
      <c r="I41" s="126">
        <f>SUM(I42:I43)</f>
        <v>147310</v>
      </c>
      <c r="J41" s="143"/>
      <c r="K41" s="58">
        <f>SUM(K42:K43)</f>
        <v>0</v>
      </c>
      <c r="L41" s="144"/>
      <c r="M41" s="58">
        <f>SUM(M42:M43)</f>
        <v>147310</v>
      </c>
      <c r="N41" s="61"/>
      <c r="O41" s="58">
        <f>SUM(O42:O43)</f>
        <v>0</v>
      </c>
      <c r="P41" s="62"/>
    </row>
    <row r="42" spans="2:17" ht="17.25" x14ac:dyDescent="0.25">
      <c r="B42" s="775"/>
      <c r="C42" s="771"/>
      <c r="D42" s="771"/>
      <c r="E42" s="771"/>
      <c r="F42" s="771"/>
      <c r="G42" s="715"/>
      <c r="H42" s="706"/>
      <c r="I42" s="124">
        <f>SUM(K42+M42+O42)</f>
        <v>88000</v>
      </c>
      <c r="J42" s="115" t="str">
        <f>"(15)"</f>
        <v>(15)</v>
      </c>
      <c r="K42" s="57">
        <f>'kuni 2025 detsember tegevuskava'!X35</f>
        <v>0</v>
      </c>
      <c r="L42" s="115" t="str">
        <f>"(15)"</f>
        <v>(15)</v>
      </c>
      <c r="M42" s="57">
        <f>'kuni 2025 detsember tegevuskava'!AA35</f>
        <v>88000</v>
      </c>
      <c r="N42" s="115" t="str">
        <f>"(15)"</f>
        <v>(15)</v>
      </c>
      <c r="O42" s="57">
        <f>'kuni 2025 detsember tegevuskava'!AD35</f>
        <v>0</v>
      </c>
      <c r="P42" s="63" t="str">
        <f>"(15)"</f>
        <v>(15)</v>
      </c>
    </row>
    <row r="43" spans="2:17" ht="17.25" x14ac:dyDescent="0.25">
      <c r="B43" s="775"/>
      <c r="C43" s="771"/>
      <c r="D43" s="771"/>
      <c r="E43" s="771"/>
      <c r="F43" s="771"/>
      <c r="G43" s="715"/>
      <c r="H43" s="706"/>
      <c r="I43" s="124">
        <f t="shared" ref="I43" si="10">SUM(K43+M43+O43)</f>
        <v>59310</v>
      </c>
      <c r="J43" s="115" t="str">
        <f>"(50)"</f>
        <v>(50)</v>
      </c>
      <c r="K43" s="57">
        <f>'kuni 2025 detsember tegevuskava'!Y35</f>
        <v>0</v>
      </c>
      <c r="L43" s="115" t="str">
        <f>"(50)"</f>
        <v>(50)</v>
      </c>
      <c r="M43" s="57">
        <f>'kuni 2025 detsember tegevuskava'!AB35</f>
        <v>59310</v>
      </c>
      <c r="N43" s="115" t="str">
        <f>"(50)"</f>
        <v>(50)</v>
      </c>
      <c r="O43" s="57">
        <f>'kuni 2025 detsember tegevuskava'!AE35</f>
        <v>0</v>
      </c>
      <c r="P43" s="63" t="str">
        <f>"(50)"</f>
        <v>(50)</v>
      </c>
    </row>
    <row r="44" spans="2:17" ht="17.25" x14ac:dyDescent="0.25">
      <c r="B44" s="775"/>
      <c r="C44" s="771"/>
      <c r="D44" s="771"/>
      <c r="E44" s="771"/>
      <c r="F44" s="771"/>
      <c r="G44" s="715"/>
      <c r="H44" s="706"/>
      <c r="I44" s="123" t="s">
        <v>562</v>
      </c>
      <c r="J44" s="145"/>
      <c r="K44" s="700"/>
      <c r="L44" s="701"/>
      <c r="M44" s="700"/>
      <c r="N44" s="701"/>
      <c r="O44" s="700"/>
      <c r="P44" s="707"/>
    </row>
    <row r="45" spans="2:17" ht="17.25" x14ac:dyDescent="0.25">
      <c r="B45" s="775"/>
      <c r="C45" s="771"/>
      <c r="D45" s="771"/>
      <c r="E45" s="771"/>
      <c r="F45" s="771"/>
      <c r="G45" s="715"/>
      <c r="H45" s="706"/>
      <c r="I45" s="125">
        <f>SUM(I46:I47)</f>
        <v>166670</v>
      </c>
      <c r="J45" s="115"/>
      <c r="K45" s="125">
        <f>SUM(K46:K47)</f>
        <v>0</v>
      </c>
      <c r="L45" s="697"/>
      <c r="M45" s="698">
        <f>SUM(M46:M47)</f>
        <v>166670</v>
      </c>
      <c r="N45" s="146"/>
      <c r="O45" s="698">
        <f>SUM(O46:O47)</f>
        <v>0</v>
      </c>
      <c r="P45" s="79"/>
    </row>
    <row r="46" spans="2:17" ht="17.25" x14ac:dyDescent="0.25">
      <c r="B46" s="775"/>
      <c r="C46" s="771"/>
      <c r="D46" s="771"/>
      <c r="E46" s="771"/>
      <c r="F46" s="771"/>
      <c r="G46" s="715"/>
      <c r="H46" s="706"/>
      <c r="I46" s="124">
        <f>SUM(K46+M46+O46)</f>
        <v>107360</v>
      </c>
      <c r="J46" s="115" t="str">
        <f>"(15)"</f>
        <v>(15)</v>
      </c>
      <c r="K46" s="57">
        <f>SUM(K42*1.2)</f>
        <v>0</v>
      </c>
      <c r="L46" s="115" t="str">
        <f>"(15)"</f>
        <v>(15)</v>
      </c>
      <c r="M46" s="57">
        <f>SUM(M42*1.22)</f>
        <v>107360</v>
      </c>
      <c r="N46" s="115" t="str">
        <f>"(15)"</f>
        <v>(15)</v>
      </c>
      <c r="O46" s="57">
        <f>SUM(O42*1.22)</f>
        <v>0</v>
      </c>
      <c r="P46" s="63" t="str">
        <f>"(15)"</f>
        <v>(15)</v>
      </c>
    </row>
    <row r="47" spans="2:17" ht="48" customHeight="1" thickBot="1" x14ac:dyDescent="0.3">
      <c r="B47" s="777"/>
      <c r="C47" s="772"/>
      <c r="D47" s="772"/>
      <c r="E47" s="772"/>
      <c r="F47" s="772"/>
      <c r="G47" s="717"/>
      <c r="H47" s="159"/>
      <c r="I47" s="708">
        <f t="shared" ref="I47" si="11">SUM(K47+M47+O47)</f>
        <v>59310</v>
      </c>
      <c r="J47" s="709" t="str">
        <f>"(50)"</f>
        <v>(50)</v>
      </c>
      <c r="K47" s="710">
        <f>K43</f>
        <v>0</v>
      </c>
      <c r="L47" s="709" t="str">
        <f>"(50)"</f>
        <v>(50)</v>
      </c>
      <c r="M47" s="710">
        <f>M43</f>
        <v>59310</v>
      </c>
      <c r="N47" s="709" t="str">
        <f>"(50)"</f>
        <v>(50)</v>
      </c>
      <c r="O47" s="710">
        <f>O43</f>
        <v>0</v>
      </c>
      <c r="P47" s="711" t="str">
        <f>"(50)"</f>
        <v>(50)</v>
      </c>
    </row>
    <row r="48" spans="2:17" ht="17.25" x14ac:dyDescent="0.25">
      <c r="B48" s="774" t="str">
        <f>'kuni 2025 detsember tegevuskava'!A36&amp;"/"&amp;'kuni 2025 detsember tegevuskava'!C36</f>
        <v>SOM/TEHIK/SKA</v>
      </c>
      <c r="C48" s="770" t="str">
        <f>'kuni 2025 detsember tegevuskava'!I36</f>
        <v>Isikustatud sotsiaalmaksu alusel arvutatavate komponentide arv on ajas kasvanud ning sellest lähtuvalt pensioni ning teiste sotsiaalvaldkonna hüvitiste  arvutamise keerukus suurenenud. Täna puudub inimesel kasutajasõbralik iseteeninduse vaade isikustatud sotsiaalmaksu andmete vaatamiseks ning sellest tulenevalt ka planeerida oma valikuid</v>
      </c>
      <c r="D48" s="770" t="str">
        <f>'kuni 2025 detsember tegevuskava'!J36</f>
        <v>Isikustatud sotsiaalmaksu arendus*</v>
      </c>
      <c r="E48" s="770" t="str">
        <f>'kuni 2025 detsember tegevuskava'!K36</f>
        <v>2024 aastal arendus</v>
      </c>
      <c r="F48" s="770" t="str">
        <f>'kuni 2025 detsember tegevuskava'!P36&amp;"/"</f>
        <v>SF 21-27 (taotletav raha)/</v>
      </c>
      <c r="G48" s="716" cm="1">
        <f t="array" ref="G48">_xlfn.IFS('kuni 2025 detsember tegevuskava'!G36='kuni 2025 detsember tegevuskava'!$G$77,1,'kuni 2025 detsember tegevuskava'!G36='kuni 2025 detsember tegevuskava'!$G$78,2,'kuni 2025 detsember tegevuskava'!G36='kuni 2025 detsember tegevuskava'!$G$79,3,'kuni 2025 detsember tegevuskava'!G36='kuni 2025 detsember tegevuskava'!$G$80,4)</f>
        <v>1</v>
      </c>
      <c r="H48" s="160" cm="1">
        <f t="array" ref="H48">_xlfn.IFS(OR('kuni 2025 detsember tegevuskava'!P36='kuni 2025 detsember tegevuskava'!$P$77,'kuni 2025 detsember tegevuskava'!P36='kuni 2025 detsember tegevuskava'!$P$79,'kuni 2025 detsember tegevuskava'!P36='kuni 2025 detsember tegevuskava'!$P$80,'kuni 2025 detsember tegevuskava'!P36='kuni 2025 detsember tegevuskava'!$P$81),1,'kuni 2025 detsember tegevuskava'!P36='kuni 2025 detsember tegevuskava'!$P$82,2,'kuni 2025 detsember tegevuskava'!P36='kuni 2025 detsember tegevuskava'!$P$83,2,'kuni 2025 detsember tegevuskava'!P36='kuni 2025 detsember tegevuskava'!$P$78,3)</f>
        <v>2</v>
      </c>
      <c r="I48" s="126">
        <f>SUM(I49:I50)</f>
        <v>694350</v>
      </c>
      <c r="J48" s="59"/>
      <c r="K48" s="126">
        <f>SUM(K49:K50)</f>
        <v>0</v>
      </c>
      <c r="L48" s="60"/>
      <c r="M48" s="126">
        <f>SUM(M49:M50)</f>
        <v>0</v>
      </c>
      <c r="N48" s="61"/>
      <c r="O48" s="58">
        <f>SUM(O49:O50)</f>
        <v>694350</v>
      </c>
      <c r="P48" s="62"/>
    </row>
    <row r="49" spans="2:16" ht="17.25" x14ac:dyDescent="0.25">
      <c r="B49" s="775"/>
      <c r="C49" s="771"/>
      <c r="D49" s="771"/>
      <c r="E49" s="771"/>
      <c r="F49" s="771"/>
      <c r="G49" s="715"/>
      <c r="H49" s="706"/>
      <c r="I49" s="124">
        <f>SUM(K49+M49+O49)</f>
        <v>590850</v>
      </c>
      <c r="J49" s="115" t="str">
        <f>"(15)"</f>
        <v>(15)</v>
      </c>
      <c r="K49" s="57">
        <f>'kuni 2025 detsember tegevuskava'!X36</f>
        <v>0</v>
      </c>
      <c r="L49" s="115" t="str">
        <f>"(15)"</f>
        <v>(15)</v>
      </c>
      <c r="M49" s="57">
        <f>'kuni 2025 detsember tegevuskava'!AA36</f>
        <v>0</v>
      </c>
      <c r="N49" s="115" t="str">
        <f>"(15)"</f>
        <v>(15)</v>
      </c>
      <c r="O49" s="57">
        <f>'kuni 2025 detsember tegevuskava'!AD36</f>
        <v>590850</v>
      </c>
      <c r="P49" s="63" t="str">
        <f>"(15)"</f>
        <v>(15)</v>
      </c>
    </row>
    <row r="50" spans="2:16" ht="17.25" x14ac:dyDescent="0.25">
      <c r="B50" s="775"/>
      <c r="C50" s="771"/>
      <c r="D50" s="771"/>
      <c r="E50" s="771"/>
      <c r="F50" s="771"/>
      <c r="G50" s="715"/>
      <c r="H50" s="706"/>
      <c r="I50" s="124">
        <f t="shared" ref="I50" si="12">SUM(K50+M50+O50)</f>
        <v>103500</v>
      </c>
      <c r="J50" s="115" t="str">
        <f>"(50)"</f>
        <v>(50)</v>
      </c>
      <c r="K50" s="57">
        <f>'kuni 2025 detsember tegevuskava'!Y36</f>
        <v>0</v>
      </c>
      <c r="L50" s="115" t="str">
        <f>"(50)"</f>
        <v>(50)</v>
      </c>
      <c r="M50" s="57">
        <f>'kuni 2025 detsember tegevuskava'!AB36</f>
        <v>0</v>
      </c>
      <c r="N50" s="115" t="str">
        <f>"(50)"</f>
        <v>(50)</v>
      </c>
      <c r="O50" s="57">
        <f>'kuni 2025 detsember tegevuskava'!AE36</f>
        <v>103500</v>
      </c>
      <c r="P50" s="63" t="str">
        <f>"(50)"</f>
        <v>(50)</v>
      </c>
    </row>
    <row r="51" spans="2:16" ht="17.25" x14ac:dyDescent="0.25">
      <c r="B51" s="775"/>
      <c r="C51" s="771"/>
      <c r="D51" s="771"/>
      <c r="E51" s="771"/>
      <c r="F51" s="771"/>
      <c r="G51" s="715"/>
      <c r="H51" s="706"/>
      <c r="I51" s="123" t="s">
        <v>562</v>
      </c>
      <c r="J51" s="161"/>
      <c r="K51" s="161"/>
      <c r="L51" s="161"/>
      <c r="M51" s="161"/>
      <c r="N51" s="161"/>
      <c r="O51" s="161"/>
      <c r="P51" s="162"/>
    </row>
    <row r="52" spans="2:16" ht="17.25" x14ac:dyDescent="0.25">
      <c r="B52" s="775"/>
      <c r="C52" s="771"/>
      <c r="D52" s="771"/>
      <c r="E52" s="771"/>
      <c r="F52" s="771"/>
      <c r="G52" s="715"/>
      <c r="H52" s="706"/>
      <c r="I52" s="125">
        <f>SUM(I53:I54)</f>
        <v>824337</v>
      </c>
      <c r="J52" s="115"/>
      <c r="K52" s="125">
        <f>SUM(K53:K54)</f>
        <v>0</v>
      </c>
      <c r="L52" s="699"/>
      <c r="M52" s="125">
        <f>SUM(M53:M54)</f>
        <v>0</v>
      </c>
      <c r="O52" s="125">
        <f>SUM(O53:O54)</f>
        <v>824337</v>
      </c>
      <c r="P52" s="64"/>
    </row>
    <row r="53" spans="2:16" ht="17.25" x14ac:dyDescent="0.25">
      <c r="B53" s="775"/>
      <c r="C53" s="771"/>
      <c r="D53" s="771"/>
      <c r="E53" s="771"/>
      <c r="F53" s="771"/>
      <c r="G53" s="715"/>
      <c r="H53" s="706"/>
      <c r="I53" s="124">
        <f>SUM(K53+M53+O53)</f>
        <v>720837</v>
      </c>
      <c r="J53" s="115" t="str">
        <f>"(15)"</f>
        <v>(15)</v>
      </c>
      <c r="K53" s="57">
        <f>SUM(K49*1.2)</f>
        <v>0</v>
      </c>
      <c r="L53" s="115" t="str">
        <f>"(15)"</f>
        <v>(15)</v>
      </c>
      <c r="M53" s="57">
        <f>SUM(M49*1.22)</f>
        <v>0</v>
      </c>
      <c r="N53" s="115" t="str">
        <f>"(15)"</f>
        <v>(15)</v>
      </c>
      <c r="O53" s="57">
        <f>SUM(O49*1.22)</f>
        <v>720837</v>
      </c>
      <c r="P53" s="63" t="str">
        <f>"(15)"</f>
        <v>(15)</v>
      </c>
    </row>
    <row r="54" spans="2:16" ht="38.25" customHeight="1" thickBot="1" x14ac:dyDescent="0.3">
      <c r="B54" s="777"/>
      <c r="C54" s="772"/>
      <c r="D54" s="772"/>
      <c r="E54" s="772"/>
      <c r="F54" s="772"/>
      <c r="G54" s="717"/>
      <c r="H54" s="159"/>
      <c r="I54" s="708">
        <f t="shared" ref="I54" si="13">SUM(K54+M54+O54)</f>
        <v>103500</v>
      </c>
      <c r="J54" s="709" t="str">
        <f>"(50)"</f>
        <v>(50)</v>
      </c>
      <c r="K54" s="710">
        <f>K50</f>
        <v>0</v>
      </c>
      <c r="L54" s="709" t="str">
        <f>"(50)"</f>
        <v>(50)</v>
      </c>
      <c r="M54" s="710">
        <f>M50</f>
        <v>0</v>
      </c>
      <c r="N54" s="709" t="str">
        <f>"(50)"</f>
        <v>(50)</v>
      </c>
      <c r="O54" s="710">
        <f>O50</f>
        <v>103500</v>
      </c>
      <c r="P54" s="711" t="str">
        <f>"(50)"</f>
        <v>(50)</v>
      </c>
    </row>
    <row r="55" spans="2:16" ht="17.25" x14ac:dyDescent="0.25">
      <c r="B55" s="774" t="str">
        <f>'kuni 2025 detsember tegevuskava'!A37&amp;"/"&amp;'kuni 2025 detsember tegevuskava'!C37</f>
        <v>SOM/TEHIK/SKA</v>
      </c>
      <c r="C55" s="770" t="str">
        <f>'kuni 2025 detsember tegevuskava'!I37</f>
        <v xml:space="preserve">Riiklikes registrites hoitavate isikute kontaktandmete puudulik kvaliteet takistab teenuste isikuni jõudmist ja proaktiivsuse põhimõtete elluviimist. </v>
      </c>
      <c r="D55" s="770" t="str">
        <f>'kuni 2025 detsember tegevuskava'!J37</f>
        <v>GOV SSO arendus*</v>
      </c>
      <c r="E55" s="770" t="str">
        <f>'kuni 2025 detsember tegevuskava'!K37</f>
        <v>2024 aastal arendus</v>
      </c>
      <c r="F55" s="770" t="str">
        <f>'kuni 2025 detsember tegevuskava'!P37&amp;"/"</f>
        <v>SF 21-27 (taotletav raha)/</v>
      </c>
      <c r="G55" s="716" cm="1">
        <f t="array" ref="G55">_xlfn.IFS('kuni 2025 detsember tegevuskava'!G37='kuni 2025 detsember tegevuskava'!$G$77,1,'kuni 2025 detsember tegevuskava'!G37='kuni 2025 detsember tegevuskava'!$G$78,2,'kuni 2025 detsember tegevuskava'!G37='kuni 2025 detsember tegevuskava'!$G$79,3,'kuni 2025 detsember tegevuskava'!G37='kuni 2025 detsember tegevuskava'!$G$80,4)</f>
        <v>1</v>
      </c>
      <c r="H55" s="160" cm="1">
        <f t="array" ref="H55">_xlfn.IFS(OR('kuni 2025 detsember tegevuskava'!P37='kuni 2025 detsember tegevuskava'!$P$77,'kuni 2025 detsember tegevuskava'!P37='kuni 2025 detsember tegevuskava'!$P$79,'kuni 2025 detsember tegevuskava'!P37='kuni 2025 detsember tegevuskava'!$P$80,'kuni 2025 detsember tegevuskava'!P37='kuni 2025 detsember tegevuskava'!$P$81),1,'kuni 2025 detsember tegevuskava'!P37='kuni 2025 detsember tegevuskava'!$P$82,2,'kuni 2025 detsember tegevuskava'!P37='kuni 2025 detsember tegevuskava'!$P$83,2,'kuni 2025 detsember tegevuskava'!P37='kuni 2025 detsember tegevuskava'!$P$78,3)</f>
        <v>2</v>
      </c>
      <c r="I55" s="126">
        <f>SUM(I56:I57)</f>
        <v>441746</v>
      </c>
      <c r="J55" s="143"/>
      <c r="K55" s="126">
        <f>SUM(K56:K57)</f>
        <v>0</v>
      </c>
      <c r="L55" s="144"/>
      <c r="M55" s="126">
        <f>SUM(M56:M57)</f>
        <v>107146</v>
      </c>
      <c r="N55" s="143"/>
      <c r="O55" s="126">
        <f>SUM(O56:O57)</f>
        <v>334600</v>
      </c>
      <c r="P55" s="62"/>
    </row>
    <row r="56" spans="2:16" ht="17.25" x14ac:dyDescent="0.25">
      <c r="B56" s="775"/>
      <c r="C56" s="771"/>
      <c r="D56" s="771"/>
      <c r="E56" s="771"/>
      <c r="F56" s="771"/>
      <c r="G56" s="715"/>
      <c r="H56" s="706"/>
      <c r="I56" s="124">
        <f>SUM(K56+M56+O56)</f>
        <v>349700</v>
      </c>
      <c r="J56" s="712" t="str">
        <f>"(15)"</f>
        <v>(15)</v>
      </c>
      <c r="K56" s="124">
        <f>'kuni 2025 detsember tegevuskava'!X37</f>
        <v>0</v>
      </c>
      <c r="L56" s="712" t="str">
        <f>"(15)"</f>
        <v>(15)</v>
      </c>
      <c r="M56" s="124">
        <f>'kuni 2025 detsember tegevuskava'!AA37</f>
        <v>78000</v>
      </c>
      <c r="N56" s="712" t="str">
        <f>"(15)"</f>
        <v>(15)</v>
      </c>
      <c r="O56" s="124">
        <f>'kuni 2025 detsember tegevuskava'!AD37</f>
        <v>271700</v>
      </c>
      <c r="P56" s="63" t="str">
        <f>"(15)"</f>
        <v>(15)</v>
      </c>
    </row>
    <row r="57" spans="2:16" ht="17.25" x14ac:dyDescent="0.25">
      <c r="B57" s="775"/>
      <c r="C57" s="771"/>
      <c r="D57" s="771"/>
      <c r="E57" s="771"/>
      <c r="F57" s="771"/>
      <c r="G57" s="715"/>
      <c r="H57" s="706"/>
      <c r="I57" s="713">
        <f t="shared" ref="I57" si="14">SUM(K57+M57+O57)</f>
        <v>92046</v>
      </c>
      <c r="J57" s="714" t="str">
        <f>"(50)"</f>
        <v>(50)</v>
      </c>
      <c r="K57" s="713">
        <f>'kuni 2025 detsember tegevuskava'!Y37</f>
        <v>0</v>
      </c>
      <c r="L57" s="714" t="str">
        <f>"(50)"</f>
        <v>(50)</v>
      </c>
      <c r="M57" s="713">
        <f>'kuni 2025 detsember tegevuskava'!AB37</f>
        <v>29146</v>
      </c>
      <c r="N57" s="714" t="str">
        <f>"(50)"</f>
        <v>(50)</v>
      </c>
      <c r="O57" s="713">
        <f>'kuni 2025 detsember tegevuskava'!AE37</f>
        <v>62900</v>
      </c>
      <c r="P57" s="718" t="str">
        <f>"(50)"</f>
        <v>(50)</v>
      </c>
    </row>
    <row r="58" spans="2:16" ht="17.25" x14ac:dyDescent="0.25">
      <c r="B58" s="775"/>
      <c r="C58" s="771"/>
      <c r="D58" s="771"/>
      <c r="E58" s="771"/>
      <c r="F58" s="771"/>
      <c r="G58" s="715"/>
      <c r="H58" s="706"/>
      <c r="I58" s="155" t="s">
        <v>562</v>
      </c>
      <c r="J58" s="161"/>
      <c r="K58" s="161"/>
      <c r="L58" s="161"/>
      <c r="M58" s="161"/>
      <c r="N58" s="161"/>
      <c r="O58" s="161"/>
      <c r="P58" s="162"/>
    </row>
    <row r="59" spans="2:16" ht="17.25" x14ac:dyDescent="0.25">
      <c r="B59" s="775"/>
      <c r="C59" s="771"/>
      <c r="D59" s="771"/>
      <c r="E59" s="771"/>
      <c r="F59" s="771"/>
      <c r="G59" s="715"/>
      <c r="H59" s="706"/>
      <c r="I59" s="125">
        <f>SUM(I60:I61)</f>
        <v>518680</v>
      </c>
      <c r="J59" s="115"/>
      <c r="K59" s="125">
        <f>SUM(K60:K61)</f>
        <v>0</v>
      </c>
      <c r="L59" s="699"/>
      <c r="M59" s="125">
        <f>SUM(M60:M61)</f>
        <v>124306</v>
      </c>
      <c r="O59" s="125">
        <f>SUM(O60:O61)</f>
        <v>394374</v>
      </c>
      <c r="P59" s="64"/>
    </row>
    <row r="60" spans="2:16" ht="17.25" x14ac:dyDescent="0.25">
      <c r="B60" s="775"/>
      <c r="C60" s="771"/>
      <c r="D60" s="771"/>
      <c r="E60" s="771"/>
      <c r="F60" s="771"/>
      <c r="G60" s="715"/>
      <c r="H60" s="706"/>
      <c r="I60" s="124">
        <f>SUM(K60+M60+O60)</f>
        <v>426634</v>
      </c>
      <c r="J60" s="115" t="str">
        <f>"(15)"</f>
        <v>(15)</v>
      </c>
      <c r="K60" s="57">
        <f>SUM(K56*1.2)</f>
        <v>0</v>
      </c>
      <c r="L60" s="115" t="str">
        <f>"(15)"</f>
        <v>(15)</v>
      </c>
      <c r="M60" s="57">
        <f>SUM(M56*1.22)</f>
        <v>95160</v>
      </c>
      <c r="N60" s="115" t="str">
        <f>"(15)"</f>
        <v>(15)</v>
      </c>
      <c r="O60" s="57">
        <f>SUM(O56*1.22)</f>
        <v>331474</v>
      </c>
      <c r="P60" s="63" t="str">
        <f>"(15)"</f>
        <v>(15)</v>
      </c>
    </row>
    <row r="61" spans="2:16" ht="18" thickBot="1" x14ac:dyDescent="0.3">
      <c r="B61" s="777"/>
      <c r="C61" s="772"/>
      <c r="D61" s="772"/>
      <c r="E61" s="772"/>
      <c r="F61" s="772"/>
      <c r="G61" s="717"/>
      <c r="H61" s="159"/>
      <c r="I61" s="708">
        <f t="shared" ref="I61" si="15">SUM(K61+M61+O61)</f>
        <v>92046</v>
      </c>
      <c r="J61" s="709" t="str">
        <f>"(50)"</f>
        <v>(50)</v>
      </c>
      <c r="K61" s="710">
        <f>K57</f>
        <v>0</v>
      </c>
      <c r="L61" s="709" t="str">
        <f>"(50)"</f>
        <v>(50)</v>
      </c>
      <c r="M61" s="710">
        <f>M57</f>
        <v>29146</v>
      </c>
      <c r="N61" s="709" t="str">
        <f>"(50)"</f>
        <v>(50)</v>
      </c>
      <c r="O61" s="710">
        <f>O57</f>
        <v>62900</v>
      </c>
      <c r="P61" s="711" t="str">
        <f>"(50)"</f>
        <v>(50)</v>
      </c>
    </row>
    <row r="62" spans="2:16" ht="17.25" x14ac:dyDescent="0.25">
      <c r="B62" s="774" t="str">
        <f>'kuni 2025 detsember tegevuskava'!A38&amp;"/"&amp;'kuni 2025 detsember tegevuskava'!C38</f>
        <v>SOM/TEHIK</v>
      </c>
      <c r="C62" s="770" t="str">
        <f>'kuni 2025 detsember tegevuskava'!I38</f>
        <v xml:space="preserve">protsesside optimeerimine, uute lähenemiste rakendamine arendus, haldus ja hooldusprotsessides. </v>
      </c>
      <c r="D62" s="770" t="str">
        <f>'kuni 2025 detsember tegevuskava'!J38</f>
        <v>agile coach</v>
      </c>
      <c r="E62" s="770" t="str">
        <f>'kuni 2025 detsember tegevuskava'!K38</f>
        <v>On värvatud agile coach kes toetab TEHIKu sisemiste protsesside optimeerimisel ja uute lähenemise juurutamisel arendusetappides.</v>
      </c>
      <c r="F62" s="770" t="str">
        <f>'kuni 2025 detsember tegevuskava'!P38&amp;"/"</f>
        <v>SF 21-27 (taotletav raha)/</v>
      </c>
      <c r="G62" s="716" cm="1">
        <f t="array" ref="G62">_xlfn.IFS('kuni 2025 detsember tegevuskava'!G38='kuni 2025 detsember tegevuskava'!$G$77,1,'kuni 2025 detsember tegevuskava'!G38='kuni 2025 detsember tegevuskava'!$G$78,2,'kuni 2025 detsember tegevuskava'!G38='kuni 2025 detsember tegevuskava'!$G$79,3,'kuni 2025 detsember tegevuskava'!G38='kuni 2025 detsember tegevuskava'!$G$80,4)</f>
        <v>3</v>
      </c>
      <c r="H62" s="160" cm="1">
        <f t="array" ref="H62">_xlfn.IFS(OR('kuni 2025 detsember tegevuskava'!P38='kuni 2025 detsember tegevuskava'!$P$77,'kuni 2025 detsember tegevuskava'!P38='kuni 2025 detsember tegevuskava'!$P$79,'kuni 2025 detsember tegevuskava'!P38='kuni 2025 detsember tegevuskava'!$P$80,'kuni 2025 detsember tegevuskava'!P38='kuni 2025 detsember tegevuskava'!$P$81),1,'kuni 2025 detsember tegevuskava'!P38='kuni 2025 detsember tegevuskava'!$P$82,2,'kuni 2025 detsember tegevuskava'!P38='kuni 2025 detsember tegevuskava'!$P$83,2,'kuni 2025 detsember tegevuskava'!P38='kuni 2025 detsember tegevuskava'!$P$78,3)</f>
        <v>2</v>
      </c>
      <c r="I62" s="126">
        <f>SUM(I63:I63)</f>
        <v>89603</v>
      </c>
      <c r="J62" s="59"/>
      <c r="K62" s="126">
        <f>SUM(K63:K63)</f>
        <v>9323</v>
      </c>
      <c r="L62" s="60"/>
      <c r="M62" s="126">
        <f>SUM(M63:M63)</f>
        <v>40140</v>
      </c>
      <c r="N62" s="61"/>
      <c r="O62" s="58">
        <f>SUM(O63:O63)</f>
        <v>40140</v>
      </c>
      <c r="P62" s="62"/>
    </row>
    <row r="63" spans="2:16" ht="17.25" x14ac:dyDescent="0.25">
      <c r="B63" s="775"/>
      <c r="C63" s="771"/>
      <c r="D63" s="771"/>
      <c r="E63" s="771"/>
      <c r="F63" s="771"/>
      <c r="G63" s="715"/>
      <c r="H63" s="706"/>
      <c r="I63" s="124">
        <f t="shared" ref="I63" si="16">SUM(K63+M63+O63)</f>
        <v>89603</v>
      </c>
      <c r="J63" s="115" t="str">
        <f>"(50)"</f>
        <v>(50)</v>
      </c>
      <c r="K63" s="57">
        <f>'kuni 2025 detsember tegevuskava'!Y38</f>
        <v>9323</v>
      </c>
      <c r="L63" s="115" t="str">
        <f>"(50)"</f>
        <v>(50)</v>
      </c>
      <c r="M63" s="57">
        <f>'kuni 2025 detsember tegevuskava'!AB38</f>
        <v>40140</v>
      </c>
      <c r="N63" s="115" t="str">
        <f>"(50)"</f>
        <v>(50)</v>
      </c>
      <c r="O63" s="57">
        <f>'kuni 2025 detsember tegevuskava'!AE38</f>
        <v>40140</v>
      </c>
      <c r="P63" s="63" t="str">
        <f>"(50)"</f>
        <v>(50)</v>
      </c>
    </row>
    <row r="64" spans="2:16" ht="17.25" x14ac:dyDescent="0.25">
      <c r="B64" s="775"/>
      <c r="C64" s="771"/>
      <c r="D64" s="771"/>
      <c r="E64" s="771"/>
      <c r="F64" s="771"/>
      <c r="G64" s="715"/>
      <c r="H64" s="706"/>
      <c r="I64" s="155" t="s">
        <v>562</v>
      </c>
      <c r="J64" s="161"/>
      <c r="K64" s="161"/>
      <c r="L64" s="161"/>
      <c r="M64" s="161"/>
      <c r="N64" s="161"/>
      <c r="O64" s="161"/>
      <c r="P64" s="162"/>
    </row>
    <row r="65" spans="2:16" ht="17.25" x14ac:dyDescent="0.25">
      <c r="B65" s="775"/>
      <c r="C65" s="771"/>
      <c r="D65" s="771"/>
      <c r="E65" s="771"/>
      <c r="F65" s="771"/>
      <c r="G65" s="715"/>
      <c r="H65" s="706"/>
      <c r="I65" s="125">
        <f>SUM(I66:I66)</f>
        <v>89603</v>
      </c>
      <c r="J65" s="115"/>
      <c r="K65" s="125">
        <f>SUM(K66:K66)</f>
        <v>9323</v>
      </c>
      <c r="L65" s="699"/>
      <c r="M65" s="125">
        <f>SUM(M66:M66)</f>
        <v>40140</v>
      </c>
      <c r="O65" s="125">
        <f>SUM(O66:O66)</f>
        <v>40140</v>
      </c>
      <c r="P65" s="64"/>
    </row>
    <row r="66" spans="2:16" ht="18" thickBot="1" x14ac:dyDescent="0.3">
      <c r="B66" s="777"/>
      <c r="C66" s="772"/>
      <c r="D66" s="772"/>
      <c r="E66" s="772"/>
      <c r="F66" s="772"/>
      <c r="G66" s="717"/>
      <c r="H66" s="159"/>
      <c r="I66" s="708">
        <f t="shared" ref="I66" si="17">SUM(K66+M66+O66)</f>
        <v>89603</v>
      </c>
      <c r="J66" s="709" t="str">
        <f>"(50)"</f>
        <v>(50)</v>
      </c>
      <c r="K66" s="710">
        <f>K63</f>
        <v>9323</v>
      </c>
      <c r="L66" s="709" t="str">
        <f>"(50)"</f>
        <v>(50)</v>
      </c>
      <c r="M66" s="710">
        <f>M63</f>
        <v>40140</v>
      </c>
      <c r="N66" s="709" t="str">
        <f>"(50)"</f>
        <v>(50)</v>
      </c>
      <c r="O66" s="710">
        <f>O63</f>
        <v>40140</v>
      </c>
      <c r="P66" s="711" t="str">
        <f>"(50)"</f>
        <v>(50)</v>
      </c>
    </row>
    <row r="67" spans="2:16" ht="17.25" x14ac:dyDescent="0.25">
      <c r="B67" s="774" t="str">
        <f>'kuni 2025 detsember tegevuskava'!A39&amp;"/"&amp;'kuni 2025 detsember tegevuskava'!C39</f>
        <v>SOM/TEHIK/SOM</v>
      </c>
      <c r="C67" s="770" t="str">
        <f>'kuni 2025 detsember tegevuskava'!I39</f>
        <v>kompetentside kasvatamine läbi koolituste, et toetada teenuspõhist juhtimist, protsesse ja digipöörde elluviimist.</v>
      </c>
      <c r="D67" s="770" t="str">
        <f>'kuni 2025 detsember tegevuskava'!J39</f>
        <v>koolituskulud:Teenuste juhid, ärianalüütikud, poliitikakujundajad ja TEHIK teenistujad</v>
      </c>
      <c r="E67" s="770" t="str">
        <f>'kuni 2025 detsember tegevuskava'!K39</f>
        <v>Koostatud on lähiaastate koolitusplaan, alustatud on esmaste digipädevusi tõstvate ning teenuspõhist juhtimist toetavates koolitusega. Jagatud on info riigiüleste kesksete koolitusvõimaluste kohta (nt MKM koolitused)</v>
      </c>
      <c r="F67" s="770" t="str">
        <f>'kuni 2025 detsember tegevuskava'!P39&amp;"/"</f>
        <v>SF 21-27 (taotletav raha)/</v>
      </c>
      <c r="G67" s="716" cm="1">
        <f t="array" ref="G67">_xlfn.IFS('kuni 2025 detsember tegevuskava'!G39='kuni 2025 detsember tegevuskava'!$G$77,1,'kuni 2025 detsember tegevuskava'!G39='kuni 2025 detsember tegevuskava'!$G$78,2,'kuni 2025 detsember tegevuskava'!G39='kuni 2025 detsember tegevuskava'!$G$79,3,'kuni 2025 detsember tegevuskava'!G39='kuni 2025 detsember tegevuskava'!$G$80,4)</f>
        <v>3</v>
      </c>
      <c r="H67" s="160" cm="1">
        <f t="array" ref="H67">_xlfn.IFS(OR('kuni 2025 detsember tegevuskava'!P39='kuni 2025 detsember tegevuskava'!$P$77,'kuni 2025 detsember tegevuskava'!P39='kuni 2025 detsember tegevuskava'!$P$79,'kuni 2025 detsember tegevuskava'!P39='kuni 2025 detsember tegevuskava'!$P$80,'kuni 2025 detsember tegevuskava'!P39='kuni 2025 detsember tegevuskava'!$P$81),1,'kuni 2025 detsember tegevuskava'!P39='kuni 2025 detsember tegevuskava'!$P$82,2,'kuni 2025 detsember tegevuskava'!P39='kuni 2025 detsember tegevuskava'!$P$83,2,'kuni 2025 detsember tegevuskava'!P39='kuni 2025 detsember tegevuskava'!$P$78,3)</f>
        <v>2</v>
      </c>
      <c r="I67" s="119">
        <f>SUM(I68:I68)</f>
        <v>90000</v>
      </c>
      <c r="J67" s="120"/>
      <c r="K67" s="73">
        <f>SUM(K68:K68)</f>
        <v>0</v>
      </c>
      <c r="L67" s="149"/>
      <c r="M67" s="73">
        <f>SUM(M68:M68)</f>
        <v>90000</v>
      </c>
      <c r="N67" s="76"/>
      <c r="O67" s="73">
        <f>SUM(O68:O68)</f>
        <v>0</v>
      </c>
      <c r="P67" s="77"/>
    </row>
    <row r="68" spans="2:16" ht="17.25" x14ac:dyDescent="0.25">
      <c r="B68" s="775"/>
      <c r="C68" s="771"/>
      <c r="D68" s="771"/>
      <c r="E68" s="771"/>
      <c r="F68" s="771"/>
      <c r="G68" s="715"/>
      <c r="H68" s="706"/>
      <c r="I68" s="92">
        <f>SUM(K68+M68+O68)</f>
        <v>90000</v>
      </c>
      <c r="J68" s="80" t="str">
        <f>"(55)"</f>
        <v>(55)</v>
      </c>
      <c r="K68" s="81">
        <f>'kuni 2025 detsember tegevuskava'!Z39</f>
        <v>0</v>
      </c>
      <c r="L68" s="80" t="str">
        <f>"(55)"</f>
        <v>(55)</v>
      </c>
      <c r="M68" s="81">
        <f>'kuni 2025 detsember tegevuskava'!AC39</f>
        <v>90000</v>
      </c>
      <c r="N68" s="80" t="str">
        <f>"(55)"</f>
        <v>(55)</v>
      </c>
      <c r="O68" s="81">
        <f>'kuni 2025 detsember tegevuskava'!AF39</f>
        <v>0</v>
      </c>
      <c r="P68" s="82" t="str">
        <f>"(55)"</f>
        <v>(55)</v>
      </c>
    </row>
    <row r="69" spans="2:16" ht="17.25" x14ac:dyDescent="0.25">
      <c r="B69" s="775"/>
      <c r="C69" s="771"/>
      <c r="D69" s="771"/>
      <c r="E69" s="771"/>
      <c r="F69" s="771"/>
      <c r="G69" s="715"/>
      <c r="H69" s="706"/>
      <c r="I69" s="154" t="s">
        <v>562</v>
      </c>
      <c r="J69" s="8"/>
      <c r="K69" s="8"/>
      <c r="L69" s="8"/>
      <c r="M69" s="8"/>
      <c r="N69" s="8"/>
      <c r="O69" s="8"/>
      <c r="P69" s="142"/>
    </row>
    <row r="70" spans="2:16" ht="17.25" x14ac:dyDescent="0.25">
      <c r="B70" s="775"/>
      <c r="C70" s="771"/>
      <c r="D70" s="771"/>
      <c r="E70" s="771"/>
      <c r="F70" s="771"/>
      <c r="G70" s="715"/>
      <c r="H70" s="706"/>
      <c r="I70" s="147">
        <f>SUM(I71:I71)</f>
        <v>109800</v>
      </c>
      <c r="J70" s="148"/>
      <c r="K70" s="83">
        <f>SUM(K71:K71)</f>
        <v>0</v>
      </c>
      <c r="L70" s="150"/>
      <c r="M70" s="83">
        <f>SUM(M71:M71)</f>
        <v>109800</v>
      </c>
      <c r="N70" s="97"/>
      <c r="O70" s="147">
        <f>SUM(O71:O71)</f>
        <v>0</v>
      </c>
      <c r="P70" s="121"/>
    </row>
    <row r="71" spans="2:16" ht="24.95" customHeight="1" thickBot="1" x14ac:dyDescent="0.3">
      <c r="B71" s="776"/>
      <c r="C71" s="773"/>
      <c r="D71" s="773"/>
      <c r="E71" s="773"/>
      <c r="F71" s="773"/>
      <c r="G71" s="715"/>
      <c r="H71" s="706"/>
      <c r="I71" s="92">
        <f>SUM(K71+M71+O71)</f>
        <v>109800</v>
      </c>
      <c r="J71" s="702" t="str">
        <f>"(55)"</f>
        <v>(55)</v>
      </c>
      <c r="K71" s="78">
        <f>SUM(K68*1.2)</f>
        <v>0</v>
      </c>
      <c r="L71" s="702" t="str">
        <f>"(55)"</f>
        <v>(55)</v>
      </c>
      <c r="M71" s="78">
        <f>SUM(M68*1.22)</f>
        <v>109800</v>
      </c>
      <c r="N71" s="702" t="str">
        <f>"(55)"</f>
        <v>(55)</v>
      </c>
      <c r="O71" s="78">
        <f>SUM(O68*1.22)</f>
        <v>0</v>
      </c>
      <c r="P71" s="79" t="str">
        <f>"(55)"</f>
        <v>(55)</v>
      </c>
    </row>
    <row r="72" spans="2:16" ht="17.25" x14ac:dyDescent="0.25">
      <c r="B72" s="774" t="str">
        <f>'kuni 2025 detsember tegevuskava'!A40&amp;"/"&amp;'kuni 2025 detsember tegevuskava'!C40</f>
        <v>SOM/TEHIK</v>
      </c>
      <c r="C72" s="770"/>
      <c r="D72" s="770" t="str">
        <f>'kuni 2025 detsember tegevuskava'!J40</f>
        <v>Laste ja perede toetamine</v>
      </c>
      <c r="E72" s="770"/>
      <c r="F72" s="770" t="str">
        <f>'kuni 2025 detsember tegevuskava'!P40&amp;"/"</f>
        <v>Muu rahastus/</v>
      </c>
      <c r="G72" s="716" cm="1">
        <f t="array" ref="G72">_xlfn.IFS('kuni 2025 detsember tegevuskava'!G40='kuni 2025 detsember tegevuskava'!$G$77,1,'kuni 2025 detsember tegevuskava'!G40='kuni 2025 detsember tegevuskava'!$G$78,2,'kuni 2025 detsember tegevuskava'!G40='kuni 2025 detsember tegevuskava'!$G$79,3,'kuni 2025 detsember tegevuskava'!G40='kuni 2025 detsember tegevuskava'!$G$80,4)</f>
        <v>4</v>
      </c>
      <c r="H72" s="160" cm="1">
        <f t="array" ref="H72">_xlfn.IFS(OR('kuni 2025 detsember tegevuskava'!P40='kuni 2025 detsember tegevuskava'!$P$77,'kuni 2025 detsember tegevuskava'!P40='kuni 2025 detsember tegevuskava'!$P$79,'kuni 2025 detsember tegevuskava'!P40='kuni 2025 detsember tegevuskava'!$P$80,'kuni 2025 detsember tegevuskava'!P40='kuni 2025 detsember tegevuskava'!$P$81),1,'kuni 2025 detsember tegevuskava'!P40='kuni 2025 detsember tegevuskava'!$P$82,2,'kuni 2025 detsember tegevuskava'!P40='kuni 2025 detsember tegevuskava'!$P$83,2,'kuni 2025 detsember tegevuskava'!P40='kuni 2025 detsember tegevuskava'!$P$78,3)</f>
        <v>3</v>
      </c>
      <c r="I72" s="119">
        <f>SUM(I73:I75)</f>
        <v>2381472</v>
      </c>
      <c r="J72" s="74"/>
      <c r="K72" s="119">
        <f>SUM(K73:K75)</f>
        <v>670397</v>
      </c>
      <c r="L72" s="75"/>
      <c r="M72" s="119">
        <f>SUM(M73:M75)</f>
        <v>841236</v>
      </c>
      <c r="N72" s="76"/>
      <c r="O72" s="73">
        <f>SUM(O73:O75)</f>
        <v>869839</v>
      </c>
      <c r="P72" s="77"/>
    </row>
    <row r="73" spans="2:16" ht="17.25" x14ac:dyDescent="0.25">
      <c r="B73" s="775"/>
      <c r="C73" s="771"/>
      <c r="D73" s="771"/>
      <c r="E73" s="771"/>
      <c r="F73" s="771"/>
      <c r="G73" s="715"/>
      <c r="H73" s="706"/>
      <c r="I73" s="92">
        <f>SUM(K73+M73+O73)</f>
        <v>1755159</v>
      </c>
      <c r="J73" s="702" t="str">
        <f>"(15)"</f>
        <v>(15)</v>
      </c>
      <c r="K73" s="78">
        <f>'kuni 2025 detsember tegevuskava'!X40</f>
        <v>520000</v>
      </c>
      <c r="L73" s="702" t="str">
        <f>"(15)"</f>
        <v>(15)</v>
      </c>
      <c r="M73" s="78">
        <f>'kuni 2025 detsember tegevuskava'!AA40</f>
        <v>609082</v>
      </c>
      <c r="N73" s="702" t="str">
        <f>"(15)"</f>
        <v>(15)</v>
      </c>
      <c r="O73" s="78">
        <f>'kuni 2025 detsember tegevuskava'!AD40</f>
        <v>626077</v>
      </c>
      <c r="P73" s="79" t="str">
        <f>"(15)"</f>
        <v>(15)</v>
      </c>
    </row>
    <row r="74" spans="2:16" ht="17.25" x14ac:dyDescent="0.25">
      <c r="B74" s="775"/>
      <c r="C74" s="771"/>
      <c r="D74" s="771"/>
      <c r="E74" s="771"/>
      <c r="F74" s="771"/>
      <c r="G74" s="715"/>
      <c r="H74" s="706"/>
      <c r="I74" s="92">
        <f>SUM(K74+M74+O74)</f>
        <v>544620</v>
      </c>
      <c r="J74" s="702" t="str">
        <f>"(50)"</f>
        <v>(50)</v>
      </c>
      <c r="K74" s="78">
        <f>'kuni 2025 detsember tegevuskava'!Y40</f>
        <v>130780</v>
      </c>
      <c r="L74" s="702" t="str">
        <f>"(50)"</f>
        <v>(50)</v>
      </c>
      <c r="M74" s="78">
        <f>'kuni 2025 detsember tegevuskava'!AB40</f>
        <v>201873</v>
      </c>
      <c r="N74" s="702" t="str">
        <f>"(50)"</f>
        <v>(50)</v>
      </c>
      <c r="O74" s="78">
        <f>'kuni 2025 detsember tegevuskava'!AE40</f>
        <v>211967</v>
      </c>
      <c r="P74" s="79" t="str">
        <f>"(50)"</f>
        <v>(50)</v>
      </c>
    </row>
    <row r="75" spans="2:16" ht="17.25" x14ac:dyDescent="0.25">
      <c r="B75" s="775"/>
      <c r="C75" s="771"/>
      <c r="D75" s="771"/>
      <c r="E75" s="771"/>
      <c r="F75" s="771"/>
      <c r="G75" s="715"/>
      <c r="H75" s="706"/>
      <c r="I75" s="92">
        <f>SUM(K75+M75+O75)</f>
        <v>81693</v>
      </c>
      <c r="J75" s="702" t="str">
        <f>"(55)"</f>
        <v>(55)</v>
      </c>
      <c r="K75" s="78">
        <f>'kuni 2025 detsember tegevuskava'!Z40</f>
        <v>19617</v>
      </c>
      <c r="L75" s="702" t="str">
        <f>"(55)"</f>
        <v>(55)</v>
      </c>
      <c r="M75" s="78">
        <f>'kuni 2025 detsember tegevuskava'!AC40</f>
        <v>30281</v>
      </c>
      <c r="N75" s="702" t="str">
        <f>"(55)"</f>
        <v>(55)</v>
      </c>
      <c r="O75" s="78">
        <f>'kuni 2025 detsember tegevuskava'!AF40</f>
        <v>31795</v>
      </c>
      <c r="P75" s="79" t="str">
        <f>"(55)"</f>
        <v>(55)</v>
      </c>
    </row>
    <row r="76" spans="2:16" ht="17.25" x14ac:dyDescent="0.25">
      <c r="B76" s="775"/>
      <c r="C76" s="771"/>
      <c r="D76" s="771"/>
      <c r="E76" s="771"/>
      <c r="F76" s="771"/>
      <c r="G76" s="715"/>
      <c r="H76" s="706"/>
      <c r="I76" s="155" t="s">
        <v>562</v>
      </c>
      <c r="J76" s="161"/>
      <c r="K76" s="161"/>
      <c r="L76" s="161"/>
      <c r="M76" s="161"/>
      <c r="N76" s="161"/>
      <c r="O76" s="161"/>
      <c r="P76" s="162"/>
    </row>
    <row r="77" spans="2:16" ht="17.25" x14ac:dyDescent="0.25">
      <c r="B77" s="775"/>
      <c r="C77" s="771"/>
      <c r="D77" s="771"/>
      <c r="E77" s="771"/>
      <c r="F77" s="771"/>
      <c r="G77" s="715"/>
      <c r="H77" s="706"/>
      <c r="I77" s="153">
        <f>SUM(I78:I80)</f>
        <v>2774787.1</v>
      </c>
      <c r="J77" s="93"/>
      <c r="K77" s="703">
        <f>SUM(K78:K80)</f>
        <v>778320.4</v>
      </c>
      <c r="L77" s="704"/>
      <c r="M77" s="153">
        <f>SUM(M78:M80)</f>
        <v>981895.86</v>
      </c>
      <c r="O77" s="153">
        <f>SUM(O78:O80)</f>
        <v>1014570.84</v>
      </c>
      <c r="P77" s="64"/>
    </row>
    <row r="78" spans="2:16" ht="17.25" x14ac:dyDescent="0.25">
      <c r="B78" s="775"/>
      <c r="C78" s="771"/>
      <c r="D78" s="771"/>
      <c r="E78" s="771"/>
      <c r="F78" s="771"/>
      <c r="G78" s="715"/>
      <c r="H78" s="706"/>
      <c r="I78" s="92">
        <f>SUM(K78+M78+O78)</f>
        <v>2130893.98</v>
      </c>
      <c r="J78" s="702" t="str">
        <f>"(15)"</f>
        <v>(15)</v>
      </c>
      <c r="K78" s="78">
        <f>SUM(K73*1.2)</f>
        <v>624000</v>
      </c>
      <c r="L78" s="702" t="str">
        <f>"(15)"</f>
        <v>(15)</v>
      </c>
      <c r="M78" s="78">
        <f>SUM(M73*1.22)</f>
        <v>743080.04</v>
      </c>
      <c r="N78" s="702" t="str">
        <f>"(15)"</f>
        <v>(15)</v>
      </c>
      <c r="O78" s="78">
        <f>SUM(O73*1.22)</f>
        <v>763813.94</v>
      </c>
      <c r="P78" s="79" t="str">
        <f>"(15)"</f>
        <v>(15)</v>
      </c>
    </row>
    <row r="79" spans="2:16" ht="17.25" x14ac:dyDescent="0.25">
      <c r="B79" s="775"/>
      <c r="C79" s="771"/>
      <c r="D79" s="771"/>
      <c r="E79" s="771"/>
      <c r="F79" s="771"/>
      <c r="G79" s="715"/>
      <c r="H79" s="706"/>
      <c r="I79" s="92">
        <f>SUM(K79+M79+O79)</f>
        <v>544620</v>
      </c>
      <c r="J79" s="702" t="str">
        <f>"(50)"</f>
        <v>(50)</v>
      </c>
      <c r="K79" s="78">
        <f>K74</f>
        <v>130780</v>
      </c>
      <c r="L79" s="702" t="str">
        <f>"(50)"</f>
        <v>(50)</v>
      </c>
      <c r="M79" s="78">
        <f>M74</f>
        <v>201873</v>
      </c>
      <c r="N79" s="702" t="str">
        <f>"(50)"</f>
        <v>(50)</v>
      </c>
      <c r="O79" s="78">
        <f>O74</f>
        <v>211967</v>
      </c>
      <c r="P79" s="79" t="str">
        <f>"(50)"</f>
        <v>(50)</v>
      </c>
    </row>
    <row r="80" spans="2:16" ht="18" thickBot="1" x14ac:dyDescent="0.3">
      <c r="B80" s="777"/>
      <c r="C80" s="772"/>
      <c r="D80" s="772"/>
      <c r="E80" s="772"/>
      <c r="F80" s="772"/>
      <c r="G80" s="717"/>
      <c r="H80" s="159"/>
      <c r="I80" s="117">
        <f>SUM(K80+M80+O80)</f>
        <v>99273.12</v>
      </c>
      <c r="J80" s="86" t="str">
        <f>"(55)"</f>
        <v>(55)</v>
      </c>
      <c r="K80" s="87">
        <f>SUM(K75*1.2)</f>
        <v>23540.399999999998</v>
      </c>
      <c r="L80" s="86" t="str">
        <f>"(55)"</f>
        <v>(55)</v>
      </c>
      <c r="M80" s="87">
        <f>SUM(M75*1.22)</f>
        <v>36942.82</v>
      </c>
      <c r="N80" s="86" t="str">
        <f>"(55)"</f>
        <v>(55)</v>
      </c>
      <c r="O80" s="87">
        <f>SUM(O75*1.22)</f>
        <v>38789.9</v>
      </c>
      <c r="P80" s="88" t="str">
        <f>"(55)"</f>
        <v>(55)</v>
      </c>
    </row>
    <row r="81" spans="2:16" ht="17.25" x14ac:dyDescent="0.25">
      <c r="B81" s="774" t="str">
        <f>'kuni 2025 detsember tegevuskava'!A41&amp;"/"&amp;'kuni 2025 detsember tegevuskava'!C41</f>
        <v>SOM/TEHIK</v>
      </c>
      <c r="C81" s="770"/>
      <c r="D81" s="770" t="str">
        <f>'kuni 2025 detsember tegevuskava'!J41</f>
        <v>Sotsiaalkaitsesüsteemide ajakohastamist toetavate infosüsteemide arendused</v>
      </c>
      <c r="E81" s="770"/>
      <c r="F81" s="770" t="str">
        <f>'kuni 2025 detsember tegevuskava'!P41&amp;"/"</f>
        <v>Muu rahastus/</v>
      </c>
      <c r="G81" s="716" cm="1">
        <f t="array" ref="G81">_xlfn.IFS('kuni 2025 detsember tegevuskava'!G41='kuni 2025 detsember tegevuskava'!$G$77,1,'kuni 2025 detsember tegevuskava'!G41='kuni 2025 detsember tegevuskava'!$G$78,2,'kuni 2025 detsember tegevuskava'!G41='kuni 2025 detsember tegevuskava'!$G$79,3,'kuni 2025 detsember tegevuskava'!G41='kuni 2025 detsember tegevuskava'!$G$80,4)</f>
        <v>4</v>
      </c>
      <c r="H81" s="160" cm="1">
        <f t="array" ref="H81">_xlfn.IFS(OR('kuni 2025 detsember tegevuskava'!P41='kuni 2025 detsember tegevuskava'!$P$77,'kuni 2025 detsember tegevuskava'!P41='kuni 2025 detsember tegevuskava'!$P$79,'kuni 2025 detsember tegevuskava'!P41='kuni 2025 detsember tegevuskava'!$P$80,'kuni 2025 detsember tegevuskava'!P41='kuni 2025 detsember tegevuskava'!$P$81),1,'kuni 2025 detsember tegevuskava'!P41='kuni 2025 detsember tegevuskava'!$P$82,2,'kuni 2025 detsember tegevuskava'!P41='kuni 2025 detsember tegevuskava'!$P$83,2,'kuni 2025 detsember tegevuskava'!P41='kuni 2025 detsember tegevuskava'!$P$78,3)</f>
        <v>3</v>
      </c>
      <c r="I81" s="119">
        <f>SUM(I82:I84)</f>
        <v>5376757</v>
      </c>
      <c r="J81" s="74"/>
      <c r="K81" s="119">
        <f>SUM(K82:K84)</f>
        <v>1345470</v>
      </c>
      <c r="L81" s="75"/>
      <c r="M81" s="119">
        <f>SUM(M82:M84)</f>
        <v>2015643.5</v>
      </c>
      <c r="N81" s="76"/>
      <c r="O81" s="73">
        <f>SUM(O82:O84)</f>
        <v>2015643.5</v>
      </c>
      <c r="P81" s="77"/>
    </row>
    <row r="82" spans="2:16" ht="17.25" x14ac:dyDescent="0.25">
      <c r="B82" s="775"/>
      <c r="C82" s="771"/>
      <c r="D82" s="771"/>
      <c r="E82" s="771"/>
      <c r="F82" s="771"/>
      <c r="G82" s="715"/>
      <c r="H82" s="706"/>
      <c r="I82" s="92">
        <f>SUM(K82+M82+O82)</f>
        <v>4214682</v>
      </c>
      <c r="J82" s="702" t="str">
        <f>"(15)"</f>
        <v>(15)</v>
      </c>
      <c r="K82" s="78">
        <f>'kuni 2025 detsember tegevuskava'!X41</f>
        <v>1020000</v>
      </c>
      <c r="L82" s="702" t="str">
        <f>"(15)"</f>
        <v>(15)</v>
      </c>
      <c r="M82" s="78">
        <f>'kuni 2025 detsember tegevuskava'!AA41</f>
        <v>1597341</v>
      </c>
      <c r="N82" s="702" t="str">
        <f>"(15)"</f>
        <v>(15)</v>
      </c>
      <c r="O82" s="78">
        <f>'kuni 2025 detsember tegevuskava'!AD41</f>
        <v>1597341</v>
      </c>
      <c r="P82" s="79" t="str">
        <f>"(15)"</f>
        <v>(15)</v>
      </c>
    </row>
    <row r="83" spans="2:16" ht="17.25" x14ac:dyDescent="0.25">
      <c r="B83" s="775"/>
      <c r="C83" s="771"/>
      <c r="D83" s="771"/>
      <c r="E83" s="771"/>
      <c r="F83" s="771"/>
      <c r="G83" s="715"/>
      <c r="H83" s="706"/>
      <c r="I83" s="92">
        <f>SUM(K83+M83+O83)</f>
        <v>996935</v>
      </c>
      <c r="J83" s="702" t="str">
        <f>"(50)"</f>
        <v>(50)</v>
      </c>
      <c r="K83" s="78">
        <f>'kuni 2025 detsember tegevuskava'!Y41</f>
        <v>281570</v>
      </c>
      <c r="L83" s="702" t="str">
        <f>"(50)"</f>
        <v>(50)</v>
      </c>
      <c r="M83" s="78">
        <f>'kuni 2025 detsember tegevuskava'!AB41</f>
        <v>357682.5</v>
      </c>
      <c r="N83" s="702" t="str">
        <f>"(50)"</f>
        <v>(50)</v>
      </c>
      <c r="O83" s="78">
        <f>'kuni 2025 detsember tegevuskava'!AE41</f>
        <v>357682.5</v>
      </c>
      <c r="P83" s="79" t="str">
        <f>"(50)"</f>
        <v>(50)</v>
      </c>
    </row>
    <row r="84" spans="2:16" ht="17.25" x14ac:dyDescent="0.25">
      <c r="B84" s="775"/>
      <c r="C84" s="771"/>
      <c r="D84" s="771"/>
      <c r="E84" s="771"/>
      <c r="F84" s="771"/>
      <c r="G84" s="715"/>
      <c r="H84" s="706"/>
      <c r="I84" s="94">
        <f>SUM(K84+M84+O84)</f>
        <v>165140</v>
      </c>
      <c r="J84" s="80" t="str">
        <f>"(55)"</f>
        <v>(55)</v>
      </c>
      <c r="K84" s="81">
        <f>'kuni 2025 detsember tegevuskava'!Z41</f>
        <v>43900</v>
      </c>
      <c r="L84" s="80" t="str">
        <f>"(55)"</f>
        <v>(55)</v>
      </c>
      <c r="M84" s="81">
        <f>'kuni 2025 detsember tegevuskava'!AC41</f>
        <v>60620</v>
      </c>
      <c r="N84" s="80" t="str">
        <f>"(55)"</f>
        <v>(55)</v>
      </c>
      <c r="O84" s="81">
        <f>'kuni 2025 detsember tegevuskava'!AF41</f>
        <v>60620</v>
      </c>
      <c r="P84" s="82" t="str">
        <f>"(55)"</f>
        <v>(55)</v>
      </c>
    </row>
    <row r="85" spans="2:16" ht="17.25" x14ac:dyDescent="0.25">
      <c r="B85" s="775"/>
      <c r="C85" s="771"/>
      <c r="D85" s="771"/>
      <c r="E85" s="771"/>
      <c r="F85" s="771"/>
      <c r="G85" s="715"/>
      <c r="H85" s="706"/>
      <c r="I85" s="135" t="s">
        <v>562</v>
      </c>
      <c r="J85" s="8"/>
      <c r="K85" s="8"/>
      <c r="L85" s="8"/>
      <c r="M85" s="8"/>
      <c r="N85" s="8"/>
      <c r="O85" s="8"/>
      <c r="P85" s="142"/>
    </row>
    <row r="86" spans="2:16" ht="17.25" x14ac:dyDescent="0.25">
      <c r="B86" s="775"/>
      <c r="C86" s="771"/>
      <c r="D86" s="771"/>
      <c r="E86" s="771"/>
      <c r="F86" s="771"/>
      <c r="G86" s="715"/>
      <c r="H86" s="706"/>
      <c r="I86" s="153">
        <f>SUM(I87:I89)</f>
        <v>6319039.8399999999</v>
      </c>
      <c r="J86" s="98"/>
      <c r="K86" s="90">
        <f>SUM(K87:K89)</f>
        <v>1558250</v>
      </c>
      <c r="L86" s="99"/>
      <c r="M86" s="83">
        <f>SUM(M87:M89)</f>
        <v>2380394.92</v>
      </c>
      <c r="N86" s="97"/>
      <c r="O86" s="147">
        <f>SUM(O87:O89)</f>
        <v>2380394.92</v>
      </c>
      <c r="P86" s="121"/>
    </row>
    <row r="87" spans="2:16" ht="17.25" x14ac:dyDescent="0.25">
      <c r="B87" s="775"/>
      <c r="C87" s="771"/>
      <c r="D87" s="771"/>
      <c r="E87" s="771"/>
      <c r="F87" s="771"/>
      <c r="G87" s="715"/>
      <c r="H87" s="706"/>
      <c r="I87" s="92">
        <f>SUM(K87+M87+O87)</f>
        <v>5121512.04</v>
      </c>
      <c r="J87" s="702" t="str">
        <f>"(15)"</f>
        <v>(15)</v>
      </c>
      <c r="K87" s="92">
        <f>SUM(K82*1.2)</f>
        <v>1224000</v>
      </c>
      <c r="L87" s="93" t="str">
        <f>"(15)"</f>
        <v>(15)</v>
      </c>
      <c r="M87" s="705">
        <f>SUM(M82*1.22)</f>
        <v>1948756.02</v>
      </c>
      <c r="N87" s="702" t="str">
        <f>"(15)"</f>
        <v>(15)</v>
      </c>
      <c r="O87" s="78">
        <f>SUM(O82*1.22)</f>
        <v>1948756.02</v>
      </c>
      <c r="P87" s="79" t="str">
        <f>"(15)"</f>
        <v>(15)</v>
      </c>
    </row>
    <row r="88" spans="2:16" ht="17.25" x14ac:dyDescent="0.25">
      <c r="B88" s="775"/>
      <c r="C88" s="771"/>
      <c r="D88" s="771"/>
      <c r="E88" s="771"/>
      <c r="F88" s="771"/>
      <c r="G88" s="715"/>
      <c r="H88" s="706"/>
      <c r="I88" s="92">
        <f>SUM(K88+M88+O88)</f>
        <v>996935</v>
      </c>
      <c r="J88" s="702" t="str">
        <f>"(50)"</f>
        <v>(50)</v>
      </c>
      <c r="K88" s="92">
        <f>K83</f>
        <v>281570</v>
      </c>
      <c r="L88" s="93" t="str">
        <f>"(50)"</f>
        <v>(50)</v>
      </c>
      <c r="M88" s="705">
        <f>M83</f>
        <v>357682.5</v>
      </c>
      <c r="N88" s="702" t="str">
        <f>"(50)"</f>
        <v>(50)</v>
      </c>
      <c r="O88" s="78">
        <f>O83</f>
        <v>357682.5</v>
      </c>
      <c r="P88" s="79" t="str">
        <f>"(50)"</f>
        <v>(50)</v>
      </c>
    </row>
    <row r="89" spans="2:16" ht="18" thickBot="1" x14ac:dyDescent="0.3">
      <c r="B89" s="777"/>
      <c r="C89" s="772"/>
      <c r="D89" s="772"/>
      <c r="E89" s="772"/>
      <c r="F89" s="772"/>
      <c r="G89" s="717"/>
      <c r="H89" s="159"/>
      <c r="I89" s="117">
        <f>SUM(K89+M89+O89)</f>
        <v>200592.8</v>
      </c>
      <c r="J89" s="86" t="str">
        <f>"(55)"</f>
        <v>(55)</v>
      </c>
      <c r="K89" s="117">
        <f>SUM(K84*1.2)</f>
        <v>52680</v>
      </c>
      <c r="L89" s="118" t="str">
        <f>"(55)"</f>
        <v>(55)</v>
      </c>
      <c r="M89" s="85">
        <f>SUM(M84*1.22)</f>
        <v>73956.399999999994</v>
      </c>
      <c r="N89" s="86" t="str">
        <f>"(55)"</f>
        <v>(55)</v>
      </c>
      <c r="O89" s="87">
        <f>SUM(O84*1.22)</f>
        <v>73956.399999999994</v>
      </c>
      <c r="P89" s="88" t="str">
        <f>"(55)"</f>
        <v>(55)</v>
      </c>
    </row>
    <row r="90" spans="2:16" ht="17.25" x14ac:dyDescent="0.25">
      <c r="B90" s="774" t="str">
        <f>'kuni 2025 detsember tegevuskava'!A42&amp;"/"&amp;'kuni 2025 detsember tegevuskava'!C42</f>
        <v>SOM/TEHIK</v>
      </c>
      <c r="C90" s="770"/>
      <c r="D90" s="770" t="str">
        <f>'kuni 2025 detsember tegevuskava'!J42</f>
        <v>Õigusaktide ja baaseelarvesse eraldatud lisavahendid </v>
      </c>
      <c r="E90" s="770"/>
      <c r="F90" s="770" t="str">
        <f>'kuni 2025 detsember tegevuskava'!P42&amp;"/"</f>
        <v>Baaseelarve/</v>
      </c>
      <c r="G90" s="716" cm="1">
        <f t="array" ref="G90">_xlfn.IFS('kuni 2025 detsember tegevuskava'!G42='kuni 2025 detsember tegevuskava'!$G$77,1,'kuni 2025 detsember tegevuskava'!G42='kuni 2025 detsember tegevuskava'!$G$78,2,'kuni 2025 detsember tegevuskava'!G42='kuni 2025 detsember tegevuskava'!$G$79,3,'kuni 2025 detsember tegevuskava'!G42='kuni 2025 detsember tegevuskava'!$G$80,4)</f>
        <v>4</v>
      </c>
      <c r="H90" s="160" cm="1">
        <f t="array" ref="H90">_xlfn.IFS(OR('kuni 2025 detsember tegevuskava'!P42='kuni 2025 detsember tegevuskava'!$P$77,'kuni 2025 detsember tegevuskava'!P42='kuni 2025 detsember tegevuskava'!$P$79,'kuni 2025 detsember tegevuskava'!P42='kuni 2025 detsember tegevuskava'!$P$80,'kuni 2025 detsember tegevuskava'!P42='kuni 2025 detsember tegevuskava'!$P$81),1,'kuni 2025 detsember tegevuskava'!P42='kuni 2025 detsember tegevuskava'!$P$82,2,'kuni 2025 detsember tegevuskava'!P42='kuni 2025 detsember tegevuskava'!$P$83,2,'kuni 2025 detsember tegevuskava'!P42='kuni 2025 detsember tegevuskava'!$P$78,3)</f>
        <v>1</v>
      </c>
      <c r="I90" s="119">
        <f>SUM(I91:I91)</f>
        <v>3600000</v>
      </c>
      <c r="J90" s="120"/>
      <c r="K90" s="73">
        <f>SUM(K91:K91)</f>
        <v>0</v>
      </c>
      <c r="L90" s="75"/>
      <c r="M90" s="119">
        <f>SUM(M91:M91)</f>
        <v>3600000</v>
      </c>
      <c r="N90" s="120"/>
      <c r="O90" s="73">
        <f>SUM(O91:O91)</f>
        <v>0</v>
      </c>
      <c r="P90" s="77"/>
    </row>
    <row r="91" spans="2:16" ht="17.25" x14ac:dyDescent="0.25">
      <c r="B91" s="775"/>
      <c r="C91" s="771"/>
      <c r="D91" s="771"/>
      <c r="E91" s="771"/>
      <c r="F91" s="771"/>
      <c r="G91" s="715"/>
      <c r="H91" s="706"/>
      <c r="I91" s="92">
        <f>SUM(K91+M91+O91)</f>
        <v>3600000</v>
      </c>
      <c r="J91" s="93" t="str">
        <f>"(15)"</f>
        <v>(15)</v>
      </c>
      <c r="K91" s="705">
        <f>'kuni 2025 detsember tegevuskava'!X42</f>
        <v>0</v>
      </c>
      <c r="L91" s="702" t="str">
        <f>"(15)"</f>
        <v>(15)</v>
      </c>
      <c r="M91" s="92">
        <f>'kuni 2025 detsember tegevuskava'!AA42</f>
        <v>3600000</v>
      </c>
      <c r="N91" s="93" t="str">
        <f>"(15)"</f>
        <v>(15)</v>
      </c>
      <c r="O91" s="705">
        <f>'kuni 2025 detsember tegevuskava'!AD42</f>
        <v>0</v>
      </c>
      <c r="P91" s="79" t="str">
        <f>"(15)"</f>
        <v>(15)</v>
      </c>
    </row>
    <row r="92" spans="2:16" ht="17.25" x14ac:dyDescent="0.25">
      <c r="B92" s="775"/>
      <c r="C92" s="771"/>
      <c r="D92" s="771"/>
      <c r="E92" s="771"/>
      <c r="F92" s="771"/>
      <c r="G92" s="715"/>
      <c r="H92" s="706"/>
      <c r="I92" s="123" t="s">
        <v>562</v>
      </c>
      <c r="J92" s="161"/>
      <c r="K92" s="161"/>
      <c r="L92" s="161"/>
      <c r="M92" s="161"/>
      <c r="N92" s="161"/>
      <c r="O92" s="161"/>
      <c r="P92" s="162"/>
    </row>
    <row r="93" spans="2:16" ht="17.25" x14ac:dyDescent="0.25">
      <c r="B93" s="775"/>
      <c r="C93" s="771"/>
      <c r="D93" s="771"/>
      <c r="E93" s="771"/>
      <c r="F93" s="771"/>
      <c r="G93" s="715"/>
      <c r="H93" s="706"/>
      <c r="I93" s="153">
        <f>SUM(I94:I94)</f>
        <v>4392000</v>
      </c>
      <c r="J93" s="93"/>
      <c r="K93" s="703">
        <f>SUM(K94:K94)</f>
        <v>0</v>
      </c>
      <c r="L93" s="704"/>
      <c r="M93" s="153">
        <f>SUM(M94:M94)</f>
        <v>4392000</v>
      </c>
      <c r="O93" s="153">
        <f>SUM(O94:O94)</f>
        <v>0</v>
      </c>
      <c r="P93" s="64"/>
    </row>
    <row r="94" spans="2:16" ht="18" thickBot="1" x14ac:dyDescent="0.3">
      <c r="B94" s="776"/>
      <c r="C94" s="773"/>
      <c r="D94" s="773"/>
      <c r="E94" s="773"/>
      <c r="F94" s="773"/>
      <c r="G94" s="715"/>
      <c r="H94" s="706"/>
      <c r="I94" s="92">
        <f>SUM(K94+M94+O94)</f>
        <v>4392000</v>
      </c>
      <c r="J94" s="93" t="str">
        <f>"(15)"</f>
        <v>(15)</v>
      </c>
      <c r="K94" s="705">
        <f>SUM(K91*1.2)</f>
        <v>0</v>
      </c>
      <c r="L94" s="702" t="str">
        <f>"(15)"</f>
        <v>(15)</v>
      </c>
      <c r="M94" s="92">
        <f>SUM(M91*1.22)</f>
        <v>4392000</v>
      </c>
      <c r="N94" s="702" t="str">
        <f>"(15)"</f>
        <v>(15)</v>
      </c>
      <c r="O94" s="92">
        <f>SUM(O91*1.22)</f>
        <v>0</v>
      </c>
      <c r="P94" s="79" t="str">
        <f>"(15)"</f>
        <v>(15)</v>
      </c>
    </row>
    <row r="95" spans="2:16" ht="17.25" x14ac:dyDescent="0.25">
      <c r="B95" s="774" t="str">
        <f>'kuni 2025 detsember tegevuskava'!A45&amp;"/"&amp;'kuni 2025 detsember tegevuskava'!C45</f>
        <v>SOM/TEHIK/ Terviseamet</v>
      </c>
      <c r="C95" s="770" t="str">
        <f>'kuni 2025 detsember tegevuskava'!I45</f>
        <v>Tuua kõik keskkonnatervisega seotud teenused ühte infosüsteemi, mis täna on erinevates vanenenud andmekogudes ja ei vasta riigi ühtsetele nõuetele. Analüüs, sh aruandluse ja avaandmete analüüs. Prototüüp, sh teenuse disain ja sihtgruppidega testimine</v>
      </c>
      <c r="D95" s="770" t="str">
        <f>'kuni 2025 detsember tegevuskava'!J45</f>
        <v>Terviseteadlik kodanik/ Keskkonnatervise infosüsteem</v>
      </c>
      <c r="E95" s="770" t="str">
        <f>'kuni 2025 detsember tegevuskava'!K45</f>
        <v>2024. a lõpuks valmib analüüs.</v>
      </c>
      <c r="F95" s="770" t="str">
        <f>'kuni 2025 detsember tegevuskava'!P45&amp;"/"</f>
        <v>SF 21-27 (taotletav raha)/</v>
      </c>
      <c r="G95" s="716" cm="1">
        <f t="array" ref="G95">_xlfn.IFS('kuni 2025 detsember tegevuskava'!G45='kuni 2025 detsember tegevuskava'!$G$77,1,'kuni 2025 detsember tegevuskava'!G45='kuni 2025 detsember tegevuskava'!$G$78,2,'kuni 2025 detsember tegevuskava'!G45='kuni 2025 detsember tegevuskava'!$G$79,3,'kuni 2025 detsember tegevuskava'!G45='kuni 2025 detsember tegevuskava'!$G$80,4)</f>
        <v>1</v>
      </c>
      <c r="H95" s="160" cm="1">
        <f t="array" ref="H95">_xlfn.IFS(OR('kuni 2025 detsember tegevuskava'!P45='kuni 2025 detsember tegevuskava'!$P$77,'kuni 2025 detsember tegevuskava'!P45='kuni 2025 detsember tegevuskava'!$P$79,'kuni 2025 detsember tegevuskava'!P45='kuni 2025 detsember tegevuskava'!$P$80,'kuni 2025 detsember tegevuskava'!P45='kuni 2025 detsember tegevuskava'!$P$81),1,'kuni 2025 detsember tegevuskava'!P45='kuni 2025 detsember tegevuskava'!$P$82,2,'kuni 2025 detsember tegevuskava'!P45='kuni 2025 detsember tegevuskava'!$P$83,2,'kuni 2025 detsember tegevuskava'!P45='kuni 2025 detsember tegevuskava'!$P$78,3)</f>
        <v>2</v>
      </c>
      <c r="I95" s="119">
        <f>SUM(I96:I97)</f>
        <v>151319</v>
      </c>
      <c r="J95" s="120"/>
      <c r="K95" s="73">
        <f>SUM(K96:K97)</f>
        <v>0</v>
      </c>
      <c r="L95" s="75"/>
      <c r="M95" s="119">
        <f>SUM(M96:M97)</f>
        <v>151319</v>
      </c>
      <c r="N95" s="120"/>
      <c r="O95" s="73">
        <f>SUM(O96:O97)</f>
        <v>0</v>
      </c>
      <c r="P95" s="77"/>
    </row>
    <row r="96" spans="2:16" ht="17.25" x14ac:dyDescent="0.25">
      <c r="B96" s="775"/>
      <c r="C96" s="771"/>
      <c r="D96" s="771"/>
      <c r="E96" s="771"/>
      <c r="F96" s="771"/>
      <c r="G96" s="715"/>
      <c r="H96" s="706"/>
      <c r="I96" s="92">
        <f>SUM(K96+M96+O96)</f>
        <v>125000</v>
      </c>
      <c r="J96" s="93" t="str">
        <f>"(15)"</f>
        <v>(15)</v>
      </c>
      <c r="K96" s="92">
        <f>'kuni 2025 detsember tegevuskava'!X45</f>
        <v>0</v>
      </c>
      <c r="L96" s="702" t="str">
        <f>"(15)"</f>
        <v>(15)</v>
      </c>
      <c r="M96" s="92">
        <f>'kuni 2025 detsember tegevuskava'!AA45</f>
        <v>125000</v>
      </c>
      <c r="N96" s="93" t="str">
        <f>"(15)"</f>
        <v>(15)</v>
      </c>
      <c r="O96" s="705">
        <f>'kuni 2025 detsember tegevuskava'!AD45</f>
        <v>0</v>
      </c>
      <c r="P96" s="79" t="str">
        <f>"(15)"</f>
        <v>(15)</v>
      </c>
    </row>
    <row r="97" spans="2:16" ht="17.25" x14ac:dyDescent="0.25">
      <c r="B97" s="775"/>
      <c r="C97" s="771"/>
      <c r="D97" s="771"/>
      <c r="E97" s="771"/>
      <c r="F97" s="771"/>
      <c r="G97" s="715"/>
      <c r="H97" s="706"/>
      <c r="I97" s="92">
        <f>SUM(K97+M97+O97)</f>
        <v>26319</v>
      </c>
      <c r="J97" s="93" t="str">
        <f>"(50)"</f>
        <v>(50)</v>
      </c>
      <c r="K97" s="92">
        <f>'kuni 2025 detsember tegevuskava'!Y45</f>
        <v>0</v>
      </c>
      <c r="L97" s="702" t="str">
        <f>"(50)"</f>
        <v>(50)</v>
      </c>
      <c r="M97" s="92">
        <f>'kuni 2025 detsember tegevuskava'!AB45</f>
        <v>26319</v>
      </c>
      <c r="N97" s="93" t="str">
        <f>"(50)"</f>
        <v>(50)</v>
      </c>
      <c r="O97" s="705">
        <f>'kuni 2025 detsember tegevuskava'!AE45</f>
        <v>0</v>
      </c>
      <c r="P97" s="79" t="str">
        <f>"(50)"</f>
        <v>(50)</v>
      </c>
    </row>
    <row r="98" spans="2:16" ht="17.25" x14ac:dyDescent="0.25">
      <c r="B98" s="775"/>
      <c r="C98" s="771"/>
      <c r="D98" s="771"/>
      <c r="E98" s="771"/>
      <c r="F98" s="771"/>
      <c r="G98" s="715"/>
      <c r="H98" s="706"/>
      <c r="I98" s="305" t="s">
        <v>562</v>
      </c>
      <c r="J98" s="306"/>
      <c r="K98" s="155"/>
      <c r="L98" s="161"/>
      <c r="M98" s="155"/>
      <c r="N98" s="307"/>
      <c r="O98" s="161"/>
      <c r="P98" s="162"/>
    </row>
    <row r="99" spans="2:16" ht="17.25" x14ac:dyDescent="0.25">
      <c r="B99" s="775"/>
      <c r="C99" s="771"/>
      <c r="D99" s="771"/>
      <c r="E99" s="771"/>
      <c r="F99" s="771"/>
      <c r="G99" s="715"/>
      <c r="H99" s="706"/>
      <c r="I99" s="153">
        <f>SUM(I100:I101)</f>
        <v>178819</v>
      </c>
      <c r="J99" s="93"/>
      <c r="K99" s="703">
        <f>SUM(K100:K101)</f>
        <v>0</v>
      </c>
      <c r="L99" s="704"/>
      <c r="M99" s="153">
        <f>SUM(M100:M101)</f>
        <v>178819</v>
      </c>
      <c r="N99" s="146"/>
      <c r="O99" s="153">
        <f>SUM(O100:O101)</f>
        <v>0</v>
      </c>
      <c r="P99" s="64"/>
    </row>
    <row r="100" spans="2:16" ht="17.25" x14ac:dyDescent="0.25">
      <c r="B100" s="775"/>
      <c r="C100" s="771"/>
      <c r="D100" s="771"/>
      <c r="E100" s="771"/>
      <c r="F100" s="771"/>
      <c r="G100" s="715"/>
      <c r="H100" s="706"/>
      <c r="I100" s="92">
        <f>SUM(K100+M100+O100)</f>
        <v>152500</v>
      </c>
      <c r="J100" s="93" t="str">
        <f>"(15)"</f>
        <v>(15)</v>
      </c>
      <c r="K100" s="705">
        <f>SUM(K96*1.2)</f>
        <v>0</v>
      </c>
      <c r="L100" s="702" t="str">
        <f>"(15)"</f>
        <v>(15)</v>
      </c>
      <c r="M100" s="92">
        <f>SUM(M96*1.22)</f>
        <v>152500</v>
      </c>
      <c r="N100" s="93" t="str">
        <f>"(15)"</f>
        <v>(15)</v>
      </c>
      <c r="O100" s="92">
        <f>SUM(O96*1.22)</f>
        <v>0</v>
      </c>
      <c r="P100" s="79" t="str">
        <f>"(15)"</f>
        <v>(15)</v>
      </c>
    </row>
    <row r="101" spans="2:16" ht="18" thickBot="1" x14ac:dyDescent="0.3">
      <c r="B101" s="777"/>
      <c r="C101" s="772"/>
      <c r="D101" s="772"/>
      <c r="E101" s="772"/>
      <c r="F101" s="772"/>
      <c r="G101" s="717"/>
      <c r="H101" s="159"/>
      <c r="I101" s="117">
        <f>SUM(K101+M101+O101)</f>
        <v>26319</v>
      </c>
      <c r="J101" s="118" t="str">
        <f>"(50)"</f>
        <v>(50)</v>
      </c>
      <c r="K101" s="85">
        <f>K97</f>
        <v>0</v>
      </c>
      <c r="L101" s="86" t="str">
        <f>"(50)"</f>
        <v>(50)</v>
      </c>
      <c r="M101" s="117">
        <f>M97</f>
        <v>26319</v>
      </c>
      <c r="N101" s="118" t="str">
        <f>"(50)"</f>
        <v>(50)</v>
      </c>
      <c r="O101" s="117">
        <f>O97</f>
        <v>0</v>
      </c>
      <c r="P101" s="88" t="str">
        <f>"(50)"</f>
        <v>(50)</v>
      </c>
    </row>
    <row r="102" spans="2:16" ht="17.25" x14ac:dyDescent="0.25">
      <c r="B102" s="774" t="str">
        <f>'kuni 2025 detsember tegevuskava'!A46&amp;"/"&amp;'kuni 2025 detsember tegevuskava'!C46</f>
        <v>SOM/TEHIK/ Terviseamet</v>
      </c>
      <c r="C102" s="770" t="str">
        <f>'kuni 2025 detsember tegevuskava'!I46</f>
        <v xml:space="preserve">Arendustöödes taaskasutatakse juba olemasolevaid komponente (VEERA kujundus, mikroteenuste arhitektuur ja selle komponendid) </v>
      </c>
      <c r="D102" s="770" t="str">
        <f>'kuni 2025 detsember tegevuskava'!J46</f>
        <v>Terviseteadlik kodanik/ Keskkonnatervise infosüsteem*</v>
      </c>
      <c r="E102" s="770" t="str">
        <f>'kuni 2025 detsember tegevuskava'!K46</f>
        <v>2024 - 2026, sh moodulite arendus, andmete migratsioon ja liidesed erinevate süsteemidega</v>
      </c>
      <c r="F102" s="770" t="str">
        <f>'kuni 2025 detsember tegevuskava'!P46&amp;"/"</f>
        <v>SF 21-27 (taotletav raha)/</v>
      </c>
      <c r="G102" s="716" cm="1">
        <f t="array" ref="G102">_xlfn.IFS('kuni 2025 detsember tegevuskava'!G46='kuni 2025 detsember tegevuskava'!$G$77,1,'kuni 2025 detsember tegevuskava'!G46='kuni 2025 detsember tegevuskava'!$G$78,2,'kuni 2025 detsember tegevuskava'!G46='kuni 2025 detsember tegevuskava'!$G$79,3,'kuni 2025 detsember tegevuskava'!G46='kuni 2025 detsember tegevuskava'!$G$80,4)</f>
        <v>1</v>
      </c>
      <c r="H102" s="160" cm="1">
        <f t="array" ref="H102">_xlfn.IFS(OR('kuni 2025 detsember tegevuskava'!P46='kuni 2025 detsember tegevuskava'!$P$77,'kuni 2025 detsember tegevuskava'!P46='kuni 2025 detsember tegevuskava'!$P$79,'kuni 2025 detsember tegevuskava'!P46='kuni 2025 detsember tegevuskava'!$P$80,'kuni 2025 detsember tegevuskava'!P46='kuni 2025 detsember tegevuskava'!$P$81),1,'kuni 2025 detsember tegevuskava'!P46='kuni 2025 detsember tegevuskava'!$P$82,2,'kuni 2025 detsember tegevuskava'!P46='kuni 2025 detsember tegevuskava'!$P$83,2,'kuni 2025 detsember tegevuskava'!P46='kuni 2025 detsember tegevuskava'!$P$78,3)</f>
        <v>2</v>
      </c>
      <c r="I102" s="119">
        <f>SUM(I103:I104)</f>
        <v>844296</v>
      </c>
      <c r="J102" s="120"/>
      <c r="K102" s="73">
        <f>SUM(K103:K104)</f>
        <v>0</v>
      </c>
      <c r="L102" s="75"/>
      <c r="M102" s="119">
        <f>SUM(M103:M104)</f>
        <v>258846</v>
      </c>
      <c r="N102" s="120"/>
      <c r="O102" s="73">
        <f>SUM(O103:O104)</f>
        <v>585450</v>
      </c>
      <c r="P102" s="77"/>
    </row>
    <row r="103" spans="2:16" ht="17.25" x14ac:dyDescent="0.25">
      <c r="B103" s="775"/>
      <c r="C103" s="771"/>
      <c r="D103" s="771"/>
      <c r="E103" s="771"/>
      <c r="F103" s="771"/>
      <c r="G103" s="715"/>
      <c r="H103" s="706"/>
      <c r="I103" s="92">
        <f>SUM(K103+M103+O103)</f>
        <v>703500</v>
      </c>
      <c r="J103" s="93" t="str">
        <f>"(15)"</f>
        <v>(15)</v>
      </c>
      <c r="K103" s="705">
        <f>'kuni 2025 detsember tegevuskava'!X46</f>
        <v>0</v>
      </c>
      <c r="L103" s="702" t="str">
        <f>"(15)"</f>
        <v>(15)</v>
      </c>
      <c r="M103" s="92">
        <f>'kuni 2025 detsember tegevuskava'!AA46</f>
        <v>201300</v>
      </c>
      <c r="N103" s="93" t="str">
        <f>"(15)"</f>
        <v>(15)</v>
      </c>
      <c r="O103" s="705">
        <f>'kuni 2025 detsember tegevuskava'!AD46</f>
        <v>502200</v>
      </c>
      <c r="P103" s="79" t="str">
        <f>"(15)"</f>
        <v>(15)</v>
      </c>
    </row>
    <row r="104" spans="2:16" ht="17.25" x14ac:dyDescent="0.25">
      <c r="B104" s="775"/>
      <c r="C104" s="771"/>
      <c r="D104" s="771"/>
      <c r="E104" s="771"/>
      <c r="F104" s="771"/>
      <c r="G104" s="715"/>
      <c r="H104" s="706"/>
      <c r="I104" s="92">
        <f>SUM(K104+M104+O104)</f>
        <v>140796</v>
      </c>
      <c r="J104" s="93" t="str">
        <f>"(50)"</f>
        <v>(50)</v>
      </c>
      <c r="K104" s="705">
        <f>'kuni 2025 detsember tegevuskava'!Y46</f>
        <v>0</v>
      </c>
      <c r="L104" s="702" t="str">
        <f>"(50)"</f>
        <v>(50)</v>
      </c>
      <c r="M104" s="92">
        <f>'kuni 2025 detsember tegevuskava'!AB46</f>
        <v>57546</v>
      </c>
      <c r="N104" s="93" t="str">
        <f>"(50)"</f>
        <v>(50)</v>
      </c>
      <c r="O104" s="705">
        <f>'kuni 2025 detsember tegevuskava'!AE46</f>
        <v>83250</v>
      </c>
      <c r="P104" s="79" t="str">
        <f>"(50)"</f>
        <v>(50)</v>
      </c>
    </row>
    <row r="105" spans="2:16" ht="17.25" x14ac:dyDescent="0.25">
      <c r="B105" s="775"/>
      <c r="C105" s="771"/>
      <c r="D105" s="771"/>
      <c r="E105" s="771"/>
      <c r="F105" s="771"/>
      <c r="G105" s="715"/>
      <c r="H105" s="706"/>
      <c r="I105" s="155" t="s">
        <v>562</v>
      </c>
      <c r="J105" s="161"/>
      <c r="K105" s="161"/>
      <c r="L105" s="161"/>
      <c r="M105" s="161"/>
      <c r="N105" s="161"/>
      <c r="O105" s="161"/>
      <c r="P105" s="162"/>
    </row>
    <row r="106" spans="2:16" ht="17.25" x14ac:dyDescent="0.25">
      <c r="B106" s="775"/>
      <c r="C106" s="771"/>
      <c r="D106" s="771"/>
      <c r="E106" s="771"/>
      <c r="F106" s="771"/>
      <c r="G106" s="715"/>
      <c r="H106" s="706"/>
      <c r="I106" s="153">
        <f>SUM(I107:I108)</f>
        <v>999066</v>
      </c>
      <c r="J106" s="93"/>
      <c r="K106" s="703">
        <f>SUM(K107:K108)</f>
        <v>0</v>
      </c>
      <c r="L106" s="704"/>
      <c r="M106" s="153">
        <f>SUM(M107:M108)</f>
        <v>303132</v>
      </c>
      <c r="N106" s="146"/>
      <c r="O106" s="153">
        <f>SUM(O107:O108)</f>
        <v>695934</v>
      </c>
      <c r="P106" s="64"/>
    </row>
    <row r="107" spans="2:16" ht="17.25" x14ac:dyDescent="0.25">
      <c r="B107" s="775"/>
      <c r="C107" s="771"/>
      <c r="D107" s="771"/>
      <c r="E107" s="771"/>
      <c r="F107" s="771"/>
      <c r="G107" s="715"/>
      <c r="H107" s="706"/>
      <c r="I107" s="92">
        <f>SUM(K107+M107+O107)</f>
        <v>858270</v>
      </c>
      <c r="J107" s="93" t="str">
        <f>"(15)"</f>
        <v>(15)</v>
      </c>
      <c r="K107" s="705">
        <f>SUM(K103*1.2)</f>
        <v>0</v>
      </c>
      <c r="L107" s="702" t="str">
        <f>"(15)"</f>
        <v>(15)</v>
      </c>
      <c r="M107" s="92">
        <f>SUM(M103*1.22)</f>
        <v>245586</v>
      </c>
      <c r="N107" s="93" t="str">
        <f>"(15)"</f>
        <v>(15)</v>
      </c>
      <c r="O107" s="92">
        <f>SUM(O103*1.22)</f>
        <v>612684</v>
      </c>
      <c r="P107" s="79" t="str">
        <f>"(15)"</f>
        <v>(15)</v>
      </c>
    </row>
    <row r="108" spans="2:16" ht="18" thickBot="1" x14ac:dyDescent="0.3">
      <c r="B108" s="777"/>
      <c r="C108" s="772"/>
      <c r="D108" s="772"/>
      <c r="E108" s="772"/>
      <c r="F108" s="772"/>
      <c r="G108" s="717"/>
      <c r="H108" s="159"/>
      <c r="I108" s="117">
        <f>SUM(K108+M108+O108)</f>
        <v>140796</v>
      </c>
      <c r="J108" s="118" t="str">
        <f>"(50)"</f>
        <v>(50)</v>
      </c>
      <c r="K108" s="85">
        <f>K104</f>
        <v>0</v>
      </c>
      <c r="L108" s="86" t="str">
        <f>"(50)"</f>
        <v>(50)</v>
      </c>
      <c r="M108" s="117">
        <f>M104</f>
        <v>57546</v>
      </c>
      <c r="N108" s="118" t="str">
        <f>"(50)"</f>
        <v>(50)</v>
      </c>
      <c r="O108" s="117">
        <f>O104</f>
        <v>83250</v>
      </c>
      <c r="P108" s="88" t="str">
        <f>"(50)"</f>
        <v>(50)</v>
      </c>
    </row>
    <row r="109" spans="2:16" ht="17.25" x14ac:dyDescent="0.25">
      <c r="B109" s="774" t="str">
        <f>'kuni 2025 detsember tegevuskava'!A40&amp;"/"&amp;'kuni 2025 detsember tegevuskava'!C40</f>
        <v>SOM/TEHIK</v>
      </c>
      <c r="C109" s="770"/>
      <c r="D109" s="770" t="str">
        <f>'kuni 2025 detsember tegevuskava'!J40</f>
        <v>Laste ja perede toetamine</v>
      </c>
      <c r="E109" s="770"/>
      <c r="F109" s="770" t="str">
        <f>'kuni 2025 detsember tegevuskava'!P40&amp;"/"</f>
        <v>Muu rahastus/</v>
      </c>
      <c r="G109" s="716" cm="1">
        <f t="array" ref="G109">_xlfn.IFS('kuni 2025 detsember tegevuskava'!G40='kuni 2025 detsember tegevuskava'!$G$77,1,'kuni 2025 detsember tegevuskava'!G40='kuni 2025 detsember tegevuskava'!$G$78,2,'kuni 2025 detsember tegevuskava'!G40='kuni 2025 detsember tegevuskava'!$G$79,3,'kuni 2025 detsember tegevuskava'!G40='kuni 2025 detsember tegevuskava'!$G$80,4)</f>
        <v>4</v>
      </c>
      <c r="H109" s="160" cm="1">
        <f t="array" ref="H109">_xlfn.IFS(OR('kuni 2025 detsember tegevuskava'!P40='kuni 2025 detsember tegevuskava'!$P$77,'kuni 2025 detsember tegevuskava'!P40='kuni 2025 detsember tegevuskava'!$P$79,'kuni 2025 detsember tegevuskava'!P40='kuni 2025 detsember tegevuskava'!$P$80,'kuni 2025 detsember tegevuskava'!P40='kuni 2025 detsember tegevuskava'!$P$81),1,'kuni 2025 detsember tegevuskava'!P40='kuni 2025 detsember tegevuskava'!$P$82,2,'kuni 2025 detsember tegevuskava'!P40='kuni 2025 detsember tegevuskava'!$P$83,2,'kuni 2025 detsember tegevuskava'!P40='kuni 2025 detsember tegevuskava'!$P$78,3)</f>
        <v>3</v>
      </c>
      <c r="I109" s="119">
        <f>SUM(I110:I112)</f>
        <v>2381472</v>
      </c>
      <c r="J109" s="120"/>
      <c r="K109" s="73">
        <f>SUM(K110:K112)</f>
        <v>670397</v>
      </c>
      <c r="L109" s="75"/>
      <c r="M109" s="119">
        <f>SUM(M110:M112)</f>
        <v>841236</v>
      </c>
      <c r="N109" s="120"/>
      <c r="O109" s="73">
        <f>SUM(O110:O112)</f>
        <v>869839</v>
      </c>
      <c r="P109" s="77"/>
    </row>
    <row r="110" spans="2:16" ht="17.25" x14ac:dyDescent="0.25">
      <c r="B110" s="775"/>
      <c r="C110" s="771"/>
      <c r="D110" s="771"/>
      <c r="E110" s="771"/>
      <c r="F110" s="771"/>
      <c r="G110" s="715"/>
      <c r="H110" s="706"/>
      <c r="I110" s="92">
        <f>SUM(K110+M110+O110)</f>
        <v>1755159</v>
      </c>
      <c r="J110" s="93" t="str">
        <f>"(15)"</f>
        <v>(15)</v>
      </c>
      <c r="K110" s="705">
        <f>'kuni 2025 detsember tegevuskava'!X40</f>
        <v>520000</v>
      </c>
      <c r="L110" s="702" t="str">
        <f>"(15)"</f>
        <v>(15)</v>
      </c>
      <c r="M110" s="92">
        <f>'kuni 2025 detsember tegevuskava'!AA40</f>
        <v>609082</v>
      </c>
      <c r="N110" s="93" t="str">
        <f>"(15)"</f>
        <v>(15)</v>
      </c>
      <c r="O110" s="705">
        <f>'kuni 2025 detsember tegevuskava'!AD40</f>
        <v>626077</v>
      </c>
      <c r="P110" s="79" t="str">
        <f>"(15)"</f>
        <v>(15)</v>
      </c>
    </row>
    <row r="111" spans="2:16" ht="17.25" x14ac:dyDescent="0.25">
      <c r="B111" s="775"/>
      <c r="C111" s="771"/>
      <c r="D111" s="771"/>
      <c r="E111" s="771"/>
      <c r="F111" s="771"/>
      <c r="G111" s="715"/>
      <c r="H111" s="706"/>
      <c r="I111" s="92">
        <f>SUM(K111+M111+O111)</f>
        <v>544620</v>
      </c>
      <c r="J111" s="93" t="str">
        <f>"(50)"</f>
        <v>(50)</v>
      </c>
      <c r="K111" s="705">
        <f>'kuni 2025 detsember tegevuskava'!Y40</f>
        <v>130780</v>
      </c>
      <c r="L111" s="702" t="str">
        <f>"(50)"</f>
        <v>(50)</v>
      </c>
      <c r="M111" s="92">
        <f>'kuni 2025 detsember tegevuskava'!AB40</f>
        <v>201873</v>
      </c>
      <c r="N111" s="93" t="str">
        <f>"(50)"</f>
        <v>(50)</v>
      </c>
      <c r="O111" s="705">
        <f>'kuni 2025 detsember tegevuskava'!AE40</f>
        <v>211967</v>
      </c>
      <c r="P111" s="79" t="str">
        <f>"(50)"</f>
        <v>(50)</v>
      </c>
    </row>
    <row r="112" spans="2:16" ht="17.25" x14ac:dyDescent="0.25">
      <c r="B112" s="775"/>
      <c r="C112" s="771"/>
      <c r="D112" s="771"/>
      <c r="E112" s="771"/>
      <c r="F112" s="771"/>
      <c r="G112" s="715"/>
      <c r="H112" s="706"/>
      <c r="I112" s="94">
        <f>SUM(K112+M112+O112)</f>
        <v>81693</v>
      </c>
      <c r="J112" s="95" t="str">
        <f>"(55)"</f>
        <v>(55)</v>
      </c>
      <c r="K112" s="89">
        <f>'kuni 2025 detsember tegevuskava'!Z40</f>
        <v>19617</v>
      </c>
      <c r="L112" s="80" t="str">
        <f>"(55)"</f>
        <v>(55)</v>
      </c>
      <c r="M112" s="94">
        <f>'kuni 2025 detsember tegevuskava'!AC40</f>
        <v>30281</v>
      </c>
      <c r="N112" s="95" t="str">
        <f>"(55)"</f>
        <v>(55)</v>
      </c>
      <c r="O112" s="89">
        <f>'kuni 2025 detsember tegevuskava'!AF40</f>
        <v>31795</v>
      </c>
      <c r="P112" s="82" t="str">
        <f>"(55)"</f>
        <v>(55)</v>
      </c>
    </row>
    <row r="113" spans="2:16" ht="17.25" x14ac:dyDescent="0.25">
      <c r="B113" s="775"/>
      <c r="C113" s="771"/>
      <c r="D113" s="771"/>
      <c r="E113" s="771"/>
      <c r="F113" s="771"/>
      <c r="G113" s="715"/>
      <c r="H113" s="706"/>
      <c r="I113" s="134" t="s">
        <v>562</v>
      </c>
      <c r="J113" s="8"/>
      <c r="K113" s="8"/>
      <c r="L113" s="8"/>
      <c r="M113" s="8"/>
      <c r="N113" s="8"/>
      <c r="O113" s="8"/>
      <c r="P113" s="142"/>
    </row>
    <row r="114" spans="2:16" ht="17.25" x14ac:dyDescent="0.25">
      <c r="B114" s="775"/>
      <c r="C114" s="771"/>
      <c r="D114" s="771"/>
      <c r="E114" s="771"/>
      <c r="F114" s="771"/>
      <c r="G114" s="715"/>
      <c r="H114" s="706"/>
      <c r="I114" s="90">
        <f>SUM(I115:I117)</f>
        <v>2774787.1</v>
      </c>
      <c r="J114" s="91"/>
      <c r="K114" s="83">
        <f>SUM(K115:K117)</f>
        <v>778320.4</v>
      </c>
      <c r="L114" s="84"/>
      <c r="M114" s="90">
        <f>SUM(M115:M117)</f>
        <v>981895.86</v>
      </c>
      <c r="N114" s="96"/>
      <c r="O114" s="90">
        <f>SUM(O115:O117)</f>
        <v>1014570.84</v>
      </c>
      <c r="P114" s="121"/>
    </row>
    <row r="115" spans="2:16" ht="17.25" x14ac:dyDescent="0.25">
      <c r="B115" s="775"/>
      <c r="C115" s="771"/>
      <c r="D115" s="771"/>
      <c r="E115" s="771"/>
      <c r="F115" s="771"/>
      <c r="G115" s="715"/>
      <c r="H115" s="706"/>
      <c r="I115" s="92">
        <f>SUM(K115+M115+O115)</f>
        <v>2130893.98</v>
      </c>
      <c r="J115" s="93" t="str">
        <f>"(15)"</f>
        <v>(15)</v>
      </c>
      <c r="K115" s="705">
        <f>SUM(K110*1.2)</f>
        <v>624000</v>
      </c>
      <c r="L115" s="702" t="str">
        <f>"(15)"</f>
        <v>(15)</v>
      </c>
      <c r="M115" s="92">
        <f>SUM(M110*1.22)</f>
        <v>743080.04</v>
      </c>
      <c r="N115" s="93" t="str">
        <f>"(15)"</f>
        <v>(15)</v>
      </c>
      <c r="O115" s="92">
        <f>SUM(O110*1.22)</f>
        <v>763813.94</v>
      </c>
      <c r="P115" s="79" t="str">
        <f>"(15)"</f>
        <v>(15)</v>
      </c>
    </row>
    <row r="116" spans="2:16" ht="17.25" x14ac:dyDescent="0.25">
      <c r="B116" s="775"/>
      <c r="C116" s="771"/>
      <c r="D116" s="771"/>
      <c r="E116" s="771"/>
      <c r="F116" s="771"/>
      <c r="G116" s="715"/>
      <c r="H116" s="706"/>
      <c r="I116" s="92">
        <f>SUM(K116+M116+O116)</f>
        <v>544620</v>
      </c>
      <c r="J116" s="93" t="str">
        <f>"(50)"</f>
        <v>(50)</v>
      </c>
      <c r="K116" s="705">
        <f>K111</f>
        <v>130780</v>
      </c>
      <c r="L116" s="702" t="str">
        <f>"(50)"</f>
        <v>(50)</v>
      </c>
      <c r="M116" s="92">
        <f>M111</f>
        <v>201873</v>
      </c>
      <c r="N116" s="93" t="str">
        <f>"(50)"</f>
        <v>(50)</v>
      </c>
      <c r="O116" s="92">
        <f>O111</f>
        <v>211967</v>
      </c>
      <c r="P116" s="79" t="str">
        <f>"(50)"</f>
        <v>(50)</v>
      </c>
    </row>
    <row r="117" spans="2:16" ht="18" thickBot="1" x14ac:dyDescent="0.3">
      <c r="B117" s="777"/>
      <c r="C117" s="772"/>
      <c r="D117" s="772"/>
      <c r="E117" s="772"/>
      <c r="F117" s="772"/>
      <c r="G117" s="717"/>
      <c r="H117" s="159"/>
      <c r="I117" s="117">
        <f>SUM(K117+M117+O117)</f>
        <v>99273.12</v>
      </c>
      <c r="J117" s="118" t="str">
        <f>"(55)"</f>
        <v>(55)</v>
      </c>
      <c r="K117" s="85">
        <f>SUM(K112*1.2)</f>
        <v>23540.399999999998</v>
      </c>
      <c r="L117" s="86" t="str">
        <f>"(55)"</f>
        <v>(55)</v>
      </c>
      <c r="M117" s="117">
        <f>SUM(M112*1.22)</f>
        <v>36942.82</v>
      </c>
      <c r="N117" s="118" t="str">
        <f>"(55)"</f>
        <v>(55)</v>
      </c>
      <c r="O117" s="117">
        <f>SUM(O112*1.22)</f>
        <v>38789.9</v>
      </c>
      <c r="P117" s="88" t="str">
        <f>"(55)"</f>
        <v>(55)</v>
      </c>
    </row>
    <row r="118" spans="2:16" ht="17.25" x14ac:dyDescent="0.25">
      <c r="B118" s="774" t="str">
        <f>'kuni 2025 detsember tegevuskava'!A41&amp;"/"&amp;'kuni 2025 detsember tegevuskava'!C41</f>
        <v>SOM/TEHIK</v>
      </c>
      <c r="C118" s="770"/>
      <c r="D118" s="770" t="str">
        <f>'kuni 2025 detsember tegevuskava'!J41</f>
        <v>Sotsiaalkaitsesüsteemide ajakohastamist toetavate infosüsteemide arendused</v>
      </c>
      <c r="E118" s="770"/>
      <c r="F118" s="770" t="str">
        <f>'kuni 2025 detsember tegevuskava'!P41&amp;"/"</f>
        <v>Muu rahastus/</v>
      </c>
      <c r="G118" s="716" cm="1">
        <f t="array" ref="G118">_xlfn.IFS('kuni 2025 detsember tegevuskava'!G41='kuni 2025 detsember tegevuskava'!$G$77,1,'kuni 2025 detsember tegevuskava'!G41='kuni 2025 detsember tegevuskava'!$G$78,2,'kuni 2025 detsember tegevuskava'!G41='kuni 2025 detsember tegevuskava'!$G$79,3,'kuni 2025 detsember tegevuskava'!G41='kuni 2025 detsember tegevuskava'!$G$80,4)</f>
        <v>4</v>
      </c>
      <c r="H118" s="160" cm="1">
        <f t="array" ref="H118">_xlfn.IFS(OR('kuni 2025 detsember tegevuskava'!P41='kuni 2025 detsember tegevuskava'!$P$77,'kuni 2025 detsember tegevuskava'!P41='kuni 2025 detsember tegevuskava'!$P$79,'kuni 2025 detsember tegevuskava'!P41='kuni 2025 detsember tegevuskava'!$P$80,'kuni 2025 detsember tegevuskava'!P41='kuni 2025 detsember tegevuskava'!$P$81),1,'kuni 2025 detsember tegevuskava'!P41='kuni 2025 detsember tegevuskava'!$P$82,2,'kuni 2025 detsember tegevuskava'!P41='kuni 2025 detsember tegevuskava'!$P$83,2,'kuni 2025 detsember tegevuskava'!P41='kuni 2025 detsember tegevuskava'!$P$78,3)</f>
        <v>3</v>
      </c>
      <c r="I118" s="119">
        <f>SUM(I119:I121)</f>
        <v>5376757</v>
      </c>
      <c r="J118" s="120"/>
      <c r="K118" s="73">
        <f>SUM(K119:K121)</f>
        <v>1345470</v>
      </c>
      <c r="L118" s="75"/>
      <c r="M118" s="119">
        <f>SUM(M119:M121)</f>
        <v>2015643.5</v>
      </c>
      <c r="N118" s="120"/>
      <c r="O118" s="73">
        <f>SUM(O119:O121)</f>
        <v>2015643.5</v>
      </c>
      <c r="P118" s="77"/>
    </row>
    <row r="119" spans="2:16" ht="17.25" x14ac:dyDescent="0.25">
      <c r="B119" s="775"/>
      <c r="C119" s="771"/>
      <c r="D119" s="771"/>
      <c r="E119" s="771"/>
      <c r="F119" s="771"/>
      <c r="G119" s="715"/>
      <c r="H119" s="706"/>
      <c r="I119" s="92">
        <f>SUM(K119+M119+O119)</f>
        <v>4214682</v>
      </c>
      <c r="J119" s="93" t="str">
        <f>"(15)"</f>
        <v>(15)</v>
      </c>
      <c r="K119" s="705">
        <f>'kuni 2025 detsember tegevuskava'!X41</f>
        <v>1020000</v>
      </c>
      <c r="L119" s="702" t="str">
        <f>"(15)"</f>
        <v>(15)</v>
      </c>
      <c r="M119" s="92">
        <f>'kuni 2025 detsember tegevuskava'!AA41</f>
        <v>1597341</v>
      </c>
      <c r="N119" s="93" t="str">
        <f>"(15)"</f>
        <v>(15)</v>
      </c>
      <c r="O119" s="705">
        <f>'kuni 2025 detsember tegevuskava'!AD41</f>
        <v>1597341</v>
      </c>
      <c r="P119" s="79" t="str">
        <f>"(15)"</f>
        <v>(15)</v>
      </c>
    </row>
    <row r="120" spans="2:16" ht="17.25" x14ac:dyDescent="0.25">
      <c r="B120" s="775"/>
      <c r="C120" s="771"/>
      <c r="D120" s="771"/>
      <c r="E120" s="771"/>
      <c r="F120" s="771"/>
      <c r="G120" s="715"/>
      <c r="H120" s="706"/>
      <c r="I120" s="92">
        <f>SUM(K120+M120+O120)</f>
        <v>996935</v>
      </c>
      <c r="J120" s="93" t="str">
        <f>"(50)"</f>
        <v>(50)</v>
      </c>
      <c r="K120" s="705">
        <f>'kuni 2025 detsember tegevuskava'!Y41</f>
        <v>281570</v>
      </c>
      <c r="L120" s="702" t="str">
        <f>"(50)"</f>
        <v>(50)</v>
      </c>
      <c r="M120" s="92">
        <f>'kuni 2025 detsember tegevuskava'!AB41</f>
        <v>357682.5</v>
      </c>
      <c r="N120" s="93" t="str">
        <f>"(50)"</f>
        <v>(50)</v>
      </c>
      <c r="O120" s="705">
        <f>'kuni 2025 detsember tegevuskava'!AE41</f>
        <v>357682.5</v>
      </c>
      <c r="P120" s="79" t="str">
        <f>"(50)"</f>
        <v>(50)</v>
      </c>
    </row>
    <row r="121" spans="2:16" ht="17.25" x14ac:dyDescent="0.25">
      <c r="B121" s="775"/>
      <c r="C121" s="771"/>
      <c r="D121" s="771"/>
      <c r="E121" s="771"/>
      <c r="F121" s="771"/>
      <c r="G121" s="715"/>
      <c r="H121" s="706"/>
      <c r="I121" s="92">
        <f>SUM(K121+M121+O121)</f>
        <v>165140</v>
      </c>
      <c r="J121" s="93" t="str">
        <f>"(55)"</f>
        <v>(55)</v>
      </c>
      <c r="K121" s="705">
        <f>'kuni 2025 detsember tegevuskava'!Z41</f>
        <v>43900</v>
      </c>
      <c r="L121" s="702" t="str">
        <f>"(55)"</f>
        <v>(55)</v>
      </c>
      <c r="M121" s="92">
        <f>'kuni 2025 detsember tegevuskava'!AC41</f>
        <v>60620</v>
      </c>
      <c r="N121" s="93" t="str">
        <f>"(55)"</f>
        <v>(55)</v>
      </c>
      <c r="O121" s="705">
        <f>'kuni 2025 detsember tegevuskava'!AF41</f>
        <v>60620</v>
      </c>
      <c r="P121" s="79" t="str">
        <f>"(55)"</f>
        <v>(55)</v>
      </c>
    </row>
    <row r="122" spans="2:16" ht="17.25" x14ac:dyDescent="0.25">
      <c r="B122" s="775"/>
      <c r="C122" s="771"/>
      <c r="D122" s="771"/>
      <c r="E122" s="771"/>
      <c r="F122" s="771"/>
      <c r="G122" s="715"/>
      <c r="H122" s="706"/>
      <c r="I122" s="155" t="s">
        <v>562</v>
      </c>
      <c r="J122" s="161"/>
      <c r="K122" s="161"/>
      <c r="L122" s="161"/>
      <c r="M122" s="161"/>
      <c r="N122" s="161"/>
      <c r="O122" s="161"/>
      <c r="P122" s="162"/>
    </row>
    <row r="123" spans="2:16" ht="17.25" x14ac:dyDescent="0.25">
      <c r="B123" s="775"/>
      <c r="C123" s="771"/>
      <c r="D123" s="771"/>
      <c r="E123" s="771"/>
      <c r="F123" s="771"/>
      <c r="G123" s="715"/>
      <c r="H123" s="706"/>
      <c r="I123" s="153">
        <f>SUM(I124:I126)</f>
        <v>6319039.8399999999</v>
      </c>
      <c r="J123" s="93"/>
      <c r="K123" s="703">
        <f>SUM(K124:K126)</f>
        <v>1558250</v>
      </c>
      <c r="L123" s="704"/>
      <c r="M123" s="153">
        <f>SUM(M124:M126)</f>
        <v>2380394.92</v>
      </c>
      <c r="N123" s="146"/>
      <c r="O123" s="153">
        <f>SUM(O124:O126)</f>
        <v>2380394.92</v>
      </c>
      <c r="P123" s="64"/>
    </row>
    <row r="124" spans="2:16" ht="17.25" x14ac:dyDescent="0.25">
      <c r="B124" s="775"/>
      <c r="C124" s="771"/>
      <c r="D124" s="771"/>
      <c r="E124" s="771"/>
      <c r="F124" s="771"/>
      <c r="G124" s="715"/>
      <c r="H124" s="706"/>
      <c r="I124" s="92">
        <f>SUM(K124+M124+O124)</f>
        <v>5121512.04</v>
      </c>
      <c r="J124" s="93" t="str">
        <f>"(15)"</f>
        <v>(15)</v>
      </c>
      <c r="K124" s="705">
        <f>SUM(K119*1.2)</f>
        <v>1224000</v>
      </c>
      <c r="L124" s="702" t="str">
        <f>"(15)"</f>
        <v>(15)</v>
      </c>
      <c r="M124" s="92">
        <f>SUM(M119*1.22)</f>
        <v>1948756.02</v>
      </c>
      <c r="N124" s="93" t="str">
        <f>"(15)"</f>
        <v>(15)</v>
      </c>
      <c r="O124" s="92">
        <f>SUM(O119*1.22)</f>
        <v>1948756.02</v>
      </c>
      <c r="P124" s="79" t="str">
        <f>"(15)"</f>
        <v>(15)</v>
      </c>
    </row>
    <row r="125" spans="2:16" ht="17.25" x14ac:dyDescent="0.25">
      <c r="B125" s="775"/>
      <c r="C125" s="771"/>
      <c r="D125" s="771"/>
      <c r="E125" s="771"/>
      <c r="F125" s="771"/>
      <c r="G125" s="715"/>
      <c r="H125" s="706"/>
      <c r="I125" s="92">
        <f>SUM(K125+M125+O125)</f>
        <v>996935</v>
      </c>
      <c r="J125" s="93" t="str">
        <f>"(50)"</f>
        <v>(50)</v>
      </c>
      <c r="K125" s="705">
        <f>K120</f>
        <v>281570</v>
      </c>
      <c r="L125" s="702" t="str">
        <f>"(50)"</f>
        <v>(50)</v>
      </c>
      <c r="M125" s="92">
        <f>M120</f>
        <v>357682.5</v>
      </c>
      <c r="N125" s="93" t="str">
        <f>"(50)"</f>
        <v>(50)</v>
      </c>
      <c r="O125" s="92">
        <f>O120</f>
        <v>357682.5</v>
      </c>
      <c r="P125" s="79" t="str">
        <f>"(50)"</f>
        <v>(50)</v>
      </c>
    </row>
    <row r="126" spans="2:16" ht="18" thickBot="1" x14ac:dyDescent="0.3">
      <c r="B126" s="777"/>
      <c r="C126" s="772"/>
      <c r="D126" s="772"/>
      <c r="E126" s="772"/>
      <c r="F126" s="772"/>
      <c r="G126" s="717"/>
      <c r="H126" s="159"/>
      <c r="I126" s="117">
        <f>SUM(K126+M126+O126)</f>
        <v>200592.8</v>
      </c>
      <c r="J126" s="118" t="str">
        <f>"(55)"</f>
        <v>(55)</v>
      </c>
      <c r="K126" s="85">
        <f>SUM(K121*1.2)</f>
        <v>52680</v>
      </c>
      <c r="L126" s="86" t="str">
        <f>"(55)"</f>
        <v>(55)</v>
      </c>
      <c r="M126" s="117">
        <f>SUM(M121*1.22)</f>
        <v>73956.399999999994</v>
      </c>
      <c r="N126" s="118" t="str">
        <f>"(55)"</f>
        <v>(55)</v>
      </c>
      <c r="O126" s="117">
        <f>SUM(O121*1.22)</f>
        <v>73956.399999999994</v>
      </c>
      <c r="P126" s="88" t="str">
        <f>"(55)"</f>
        <v>(55)</v>
      </c>
    </row>
    <row r="127" spans="2:16" ht="17.25" x14ac:dyDescent="0.25">
      <c r="B127" s="774" t="str">
        <f>'kuni 2025 detsember tegevuskava'!A45&amp;"/"&amp;'kuni 2025 detsember tegevuskava'!C45</f>
        <v>SOM/TEHIK/ Terviseamet</v>
      </c>
      <c r="C127" s="770" t="str">
        <f>'kuni 2025 detsember tegevuskava'!I45</f>
        <v>Tuua kõik keskkonnatervisega seotud teenused ühte infosüsteemi, mis täna on erinevates vanenenud andmekogudes ja ei vasta riigi ühtsetele nõuetele. Analüüs, sh aruandluse ja avaandmete analüüs. Prototüüp, sh teenuse disain ja sihtgruppidega testimine</v>
      </c>
      <c r="D127" s="770" t="str">
        <f>'kuni 2025 detsember tegevuskava'!J45</f>
        <v>Terviseteadlik kodanik/ Keskkonnatervise infosüsteem</v>
      </c>
      <c r="E127" s="770" t="str">
        <f>'kuni 2025 detsember tegevuskava'!K45</f>
        <v>2024. a lõpuks valmib analüüs.</v>
      </c>
      <c r="F127" s="770" t="str">
        <f>'kuni 2025 detsember tegevuskava'!P45&amp;"/"</f>
        <v>SF 21-27 (taotletav raha)/</v>
      </c>
      <c r="G127" s="716" cm="1">
        <f t="array" ref="G127">_xlfn.IFS('kuni 2025 detsember tegevuskava'!G45='kuni 2025 detsember tegevuskava'!$G$77,1,'kuni 2025 detsember tegevuskava'!G45='kuni 2025 detsember tegevuskava'!$G$78,2,'kuni 2025 detsember tegevuskava'!G45='kuni 2025 detsember tegevuskava'!$G$79,3,'kuni 2025 detsember tegevuskava'!G45='kuni 2025 detsember tegevuskava'!$G$80,4)</f>
        <v>1</v>
      </c>
      <c r="H127" s="160" cm="1">
        <f t="array" ref="H127">_xlfn.IFS(OR('kuni 2025 detsember tegevuskava'!P45='kuni 2025 detsember tegevuskava'!$P$77,'kuni 2025 detsember tegevuskava'!P45='kuni 2025 detsember tegevuskava'!$P$79,'kuni 2025 detsember tegevuskava'!P45='kuni 2025 detsember tegevuskava'!$P$80,'kuni 2025 detsember tegevuskava'!P45='kuni 2025 detsember tegevuskava'!$P$81),1,'kuni 2025 detsember tegevuskava'!P45='kuni 2025 detsember tegevuskava'!$P$82,2,'kuni 2025 detsember tegevuskava'!P45='kuni 2025 detsember tegevuskava'!$P$83,2,'kuni 2025 detsember tegevuskava'!P45='kuni 2025 detsember tegevuskava'!$P$78,3)</f>
        <v>2</v>
      </c>
      <c r="I127" s="119">
        <f>SUM(I128:I129)</f>
        <v>151319</v>
      </c>
      <c r="J127" s="120"/>
      <c r="K127" s="73">
        <f>SUM(K128:K129)</f>
        <v>0</v>
      </c>
      <c r="L127" s="75"/>
      <c r="M127" s="119">
        <f>SUM(M128:M129)</f>
        <v>151319</v>
      </c>
      <c r="N127" s="120"/>
      <c r="O127" s="73">
        <f>SUM(O128:O129)</f>
        <v>0</v>
      </c>
      <c r="P127" s="77"/>
    </row>
    <row r="128" spans="2:16" ht="17.25" x14ac:dyDescent="0.25">
      <c r="B128" s="775"/>
      <c r="C128" s="771"/>
      <c r="D128" s="771"/>
      <c r="E128" s="771"/>
      <c r="F128" s="771"/>
      <c r="G128" s="715"/>
      <c r="H128" s="706"/>
      <c r="I128" s="92">
        <f>SUM(K128+M128+O128)</f>
        <v>125000</v>
      </c>
      <c r="J128" s="93" t="str">
        <f>"(15)"</f>
        <v>(15)</v>
      </c>
      <c r="K128" s="705">
        <f>'kuni 2025 detsember tegevuskava'!X45</f>
        <v>0</v>
      </c>
      <c r="L128" s="702" t="str">
        <f>"(15)"</f>
        <v>(15)</v>
      </c>
      <c r="M128" s="92">
        <f>'kuni 2025 detsember tegevuskava'!AA45</f>
        <v>125000</v>
      </c>
      <c r="N128" s="93" t="str">
        <f>"(15)"</f>
        <v>(15)</v>
      </c>
      <c r="O128" s="705">
        <f>'kuni 2025 detsember tegevuskava'!AD45</f>
        <v>0</v>
      </c>
      <c r="P128" s="79" t="str">
        <f>"(15)"</f>
        <v>(15)</v>
      </c>
    </row>
    <row r="129" spans="2:16" ht="17.25" x14ac:dyDescent="0.25">
      <c r="B129" s="775"/>
      <c r="C129" s="771"/>
      <c r="D129" s="771"/>
      <c r="E129" s="771"/>
      <c r="F129" s="771"/>
      <c r="G129" s="715"/>
      <c r="H129" s="706"/>
      <c r="I129" s="92">
        <f>SUM(K129+M129+O129)</f>
        <v>26319</v>
      </c>
      <c r="J129" s="93" t="str">
        <f>"(50)"</f>
        <v>(50)</v>
      </c>
      <c r="K129" s="705">
        <f>'kuni 2025 detsember tegevuskava'!Y45</f>
        <v>0</v>
      </c>
      <c r="L129" s="702" t="str">
        <f>"(50)"</f>
        <v>(50)</v>
      </c>
      <c r="M129" s="92">
        <f>'kuni 2025 detsember tegevuskava'!AB45</f>
        <v>26319</v>
      </c>
      <c r="N129" s="93" t="str">
        <f>"(50)"</f>
        <v>(50)</v>
      </c>
      <c r="O129" s="705">
        <f>'kuni 2025 detsember tegevuskava'!AE45</f>
        <v>0</v>
      </c>
      <c r="P129" s="79" t="str">
        <f>"(50)"</f>
        <v>(50)</v>
      </c>
    </row>
    <row r="130" spans="2:16" ht="17.25" x14ac:dyDescent="0.25">
      <c r="B130" s="775"/>
      <c r="C130" s="771"/>
      <c r="D130" s="771"/>
      <c r="E130" s="771"/>
      <c r="F130" s="771"/>
      <c r="G130" s="715"/>
      <c r="H130" s="706"/>
      <c r="I130" s="155" t="s">
        <v>562</v>
      </c>
      <c r="J130" s="161"/>
      <c r="K130" s="161"/>
      <c r="L130" s="161"/>
      <c r="M130" s="161"/>
      <c r="N130" s="161"/>
      <c r="O130" s="161"/>
      <c r="P130" s="162"/>
    </row>
    <row r="131" spans="2:16" ht="17.25" x14ac:dyDescent="0.25">
      <c r="B131" s="775"/>
      <c r="C131" s="771"/>
      <c r="D131" s="771"/>
      <c r="E131" s="771"/>
      <c r="F131" s="771"/>
      <c r="G131" s="715"/>
      <c r="H131" s="706"/>
      <c r="I131" s="153">
        <f>SUM(I132:I133)</f>
        <v>178819</v>
      </c>
      <c r="J131" s="93"/>
      <c r="K131" s="703">
        <f>SUM(K132:K133)</f>
        <v>0</v>
      </c>
      <c r="L131" s="704"/>
      <c r="M131" s="153">
        <f>SUM(M132:M133)</f>
        <v>178819</v>
      </c>
      <c r="N131" s="146"/>
      <c r="O131" s="153">
        <f>SUM(O132:O133)</f>
        <v>0</v>
      </c>
      <c r="P131" s="64"/>
    </row>
    <row r="132" spans="2:16" ht="17.25" x14ac:dyDescent="0.25">
      <c r="B132" s="775"/>
      <c r="C132" s="771"/>
      <c r="D132" s="771"/>
      <c r="E132" s="771"/>
      <c r="F132" s="771"/>
      <c r="G132" s="715"/>
      <c r="H132" s="706"/>
      <c r="I132" s="92">
        <f>SUM(K132+M132+O132)</f>
        <v>152500</v>
      </c>
      <c r="J132" s="93" t="str">
        <f>"(15)"</f>
        <v>(15)</v>
      </c>
      <c r="K132" s="705">
        <f>SUM(K128*1.2)</f>
        <v>0</v>
      </c>
      <c r="L132" s="702" t="str">
        <f>"(15)"</f>
        <v>(15)</v>
      </c>
      <c r="M132" s="92">
        <f>SUM(M128*1.22)</f>
        <v>152500</v>
      </c>
      <c r="N132" s="93" t="str">
        <f>"(15)"</f>
        <v>(15)</v>
      </c>
      <c r="O132" s="92">
        <f>SUM(O128*1.22)</f>
        <v>0</v>
      </c>
      <c r="P132" s="79" t="str">
        <f>"(15)"</f>
        <v>(15)</v>
      </c>
    </row>
    <row r="133" spans="2:16" ht="18" thickBot="1" x14ac:dyDescent="0.3">
      <c r="B133" s="776"/>
      <c r="C133" s="773"/>
      <c r="D133" s="773"/>
      <c r="E133" s="773"/>
      <c r="F133" s="773"/>
      <c r="G133" s="715"/>
      <c r="H133" s="706"/>
      <c r="I133" s="92">
        <f>SUM(K133+M133+O133)</f>
        <v>26319</v>
      </c>
      <c r="J133" s="93" t="str">
        <f>"(50)"</f>
        <v>(50)</v>
      </c>
      <c r="K133" s="705">
        <f>K129</f>
        <v>0</v>
      </c>
      <c r="L133" s="702" t="str">
        <f>"(50)"</f>
        <v>(50)</v>
      </c>
      <c r="M133" s="92">
        <f>M129</f>
        <v>26319</v>
      </c>
      <c r="N133" s="93" t="str">
        <f>"(50)"</f>
        <v>(50)</v>
      </c>
      <c r="O133" s="92">
        <f>O129</f>
        <v>0</v>
      </c>
      <c r="P133" s="79" t="str">
        <f>"(50)"</f>
        <v>(50)</v>
      </c>
    </row>
    <row r="134" spans="2:16" ht="17.25" x14ac:dyDescent="0.25">
      <c r="B134" s="774" t="str">
        <f>'kuni 2025 detsember tegevuskava'!A46&amp;"/"&amp;'kuni 2025 detsember tegevuskava'!C46</f>
        <v>SOM/TEHIK/ Terviseamet</v>
      </c>
      <c r="C134" s="770" t="str">
        <f>'kuni 2025 detsember tegevuskava'!I46</f>
        <v xml:space="preserve">Arendustöödes taaskasutatakse juba olemasolevaid komponente (VEERA kujundus, mikroteenuste arhitektuur ja selle komponendid) </v>
      </c>
      <c r="D134" s="770" t="str">
        <f>'kuni 2025 detsember tegevuskava'!J46</f>
        <v>Terviseteadlik kodanik/ Keskkonnatervise infosüsteem*</v>
      </c>
      <c r="E134" s="770" t="str">
        <f>'kuni 2025 detsember tegevuskava'!K46</f>
        <v>2024 - 2026, sh moodulite arendus, andmete migratsioon ja liidesed erinevate süsteemidega</v>
      </c>
      <c r="F134" s="770" t="str">
        <f>'kuni 2025 detsember tegevuskava'!P46&amp;"/"</f>
        <v>SF 21-27 (taotletav raha)/</v>
      </c>
      <c r="G134" s="716" cm="1">
        <f t="array" ref="G134">_xlfn.IFS('kuni 2025 detsember tegevuskava'!G46='kuni 2025 detsember tegevuskava'!$G$77,1,'kuni 2025 detsember tegevuskava'!G46='kuni 2025 detsember tegevuskava'!$G$78,2,'kuni 2025 detsember tegevuskava'!G46='kuni 2025 detsember tegevuskava'!$G$79,3,'kuni 2025 detsember tegevuskava'!G46='kuni 2025 detsember tegevuskava'!$G$80,4)</f>
        <v>1</v>
      </c>
      <c r="H134" s="160" cm="1">
        <f t="array" ref="H134">_xlfn.IFS(OR('kuni 2025 detsember tegevuskava'!P46='kuni 2025 detsember tegevuskava'!$P$77,'kuni 2025 detsember tegevuskava'!P46='kuni 2025 detsember tegevuskava'!$P$79,'kuni 2025 detsember tegevuskava'!P46='kuni 2025 detsember tegevuskava'!$P$80,'kuni 2025 detsember tegevuskava'!P46='kuni 2025 detsember tegevuskava'!$P$81),1,'kuni 2025 detsember tegevuskava'!P46='kuni 2025 detsember tegevuskava'!$P$82,2,'kuni 2025 detsember tegevuskava'!P46='kuni 2025 detsember tegevuskava'!$P$83,2,'kuni 2025 detsember tegevuskava'!P46='kuni 2025 detsember tegevuskava'!$P$78,3)</f>
        <v>2</v>
      </c>
      <c r="I134" s="119">
        <f>SUM(I135:I136)</f>
        <v>844296</v>
      </c>
      <c r="J134" s="120"/>
      <c r="K134" s="73">
        <f>SUM(K135:K136)</f>
        <v>0</v>
      </c>
      <c r="L134" s="75"/>
      <c r="M134" s="119">
        <f>SUM(M135:M136)</f>
        <v>258846</v>
      </c>
      <c r="N134" s="120"/>
      <c r="O134" s="73">
        <f>SUM(O135:O136)</f>
        <v>585450</v>
      </c>
      <c r="P134" s="77"/>
    </row>
    <row r="135" spans="2:16" ht="17.25" x14ac:dyDescent="0.25">
      <c r="B135" s="775"/>
      <c r="C135" s="771"/>
      <c r="D135" s="771"/>
      <c r="E135" s="771"/>
      <c r="F135" s="771"/>
      <c r="G135" s="715"/>
      <c r="H135" s="706"/>
      <c r="I135" s="92">
        <f>SUM(K135+M135+O135)</f>
        <v>703500</v>
      </c>
      <c r="J135" s="93" t="str">
        <f>"(15)"</f>
        <v>(15)</v>
      </c>
      <c r="K135" s="705">
        <f>'kuni 2025 detsember tegevuskava'!X46</f>
        <v>0</v>
      </c>
      <c r="L135" s="702" t="str">
        <f>"(15)"</f>
        <v>(15)</v>
      </c>
      <c r="M135" s="92">
        <f>'kuni 2025 detsember tegevuskava'!AA46</f>
        <v>201300</v>
      </c>
      <c r="N135" s="93" t="str">
        <f>"(15)"</f>
        <v>(15)</v>
      </c>
      <c r="O135" s="705">
        <f>'kuni 2025 detsember tegevuskava'!AD46</f>
        <v>502200</v>
      </c>
      <c r="P135" s="79" t="str">
        <f>"(15)"</f>
        <v>(15)</v>
      </c>
    </row>
    <row r="136" spans="2:16" ht="17.25" x14ac:dyDescent="0.25">
      <c r="B136" s="775"/>
      <c r="C136" s="771"/>
      <c r="D136" s="771"/>
      <c r="E136" s="771"/>
      <c r="F136" s="771"/>
      <c r="G136" s="715"/>
      <c r="H136" s="706"/>
      <c r="I136" s="92">
        <f>SUM(K136+M136+O136)</f>
        <v>140796</v>
      </c>
      <c r="J136" s="93" t="str">
        <f>"(50)"</f>
        <v>(50)</v>
      </c>
      <c r="K136" s="705">
        <f>'kuni 2025 detsember tegevuskava'!Y46</f>
        <v>0</v>
      </c>
      <c r="L136" s="702" t="str">
        <f>"(50)"</f>
        <v>(50)</v>
      </c>
      <c r="M136" s="92">
        <f>'kuni 2025 detsember tegevuskava'!AB46</f>
        <v>57546</v>
      </c>
      <c r="N136" s="93" t="str">
        <f>"(50)"</f>
        <v>(50)</v>
      </c>
      <c r="O136" s="705">
        <f>'kuni 2025 detsember tegevuskava'!AE46</f>
        <v>83250</v>
      </c>
      <c r="P136" s="79" t="str">
        <f>"(50)"</f>
        <v>(50)</v>
      </c>
    </row>
    <row r="137" spans="2:16" ht="17.25" x14ac:dyDescent="0.25">
      <c r="B137" s="775"/>
      <c r="C137" s="771"/>
      <c r="D137" s="771"/>
      <c r="E137" s="771"/>
      <c r="F137" s="771"/>
      <c r="G137" s="715"/>
      <c r="H137" s="706"/>
      <c r="I137" s="155" t="s">
        <v>562</v>
      </c>
      <c r="J137" s="161"/>
      <c r="K137" s="161"/>
      <c r="L137" s="161"/>
      <c r="M137" s="161"/>
      <c r="N137" s="161"/>
      <c r="O137" s="161"/>
      <c r="P137" s="162"/>
    </row>
    <row r="138" spans="2:16" ht="17.25" x14ac:dyDescent="0.25">
      <c r="B138" s="775"/>
      <c r="C138" s="771"/>
      <c r="D138" s="771"/>
      <c r="E138" s="771"/>
      <c r="F138" s="771"/>
      <c r="G138" s="715"/>
      <c r="H138" s="706"/>
      <c r="I138" s="153">
        <f>SUM(I139:I140)</f>
        <v>999066</v>
      </c>
      <c r="J138" s="93"/>
      <c r="K138" s="703">
        <f>SUM(K139:K140)</f>
        <v>0</v>
      </c>
      <c r="L138" s="704"/>
      <c r="M138" s="153">
        <f>SUM(M139:M140)</f>
        <v>303132</v>
      </c>
      <c r="N138" s="146"/>
      <c r="O138" s="153">
        <f>SUM(O139:O140)</f>
        <v>695934</v>
      </c>
      <c r="P138" s="64"/>
    </row>
    <row r="139" spans="2:16" ht="17.25" x14ac:dyDescent="0.25">
      <c r="B139" s="775"/>
      <c r="C139" s="771"/>
      <c r="D139" s="771"/>
      <c r="E139" s="771"/>
      <c r="F139" s="771"/>
      <c r="G139" s="715"/>
      <c r="H139" s="706"/>
      <c r="I139" s="92">
        <f>SUM(K139+M139+O139)</f>
        <v>858270</v>
      </c>
      <c r="J139" s="93" t="str">
        <f>"(15)"</f>
        <v>(15)</v>
      </c>
      <c r="K139" s="705">
        <f>SUM(K135*1.2)</f>
        <v>0</v>
      </c>
      <c r="L139" s="702" t="str">
        <f>"(15)"</f>
        <v>(15)</v>
      </c>
      <c r="M139" s="92">
        <f>SUM(M135*1.22)</f>
        <v>245586</v>
      </c>
      <c r="N139" s="93" t="str">
        <f>"(15)"</f>
        <v>(15)</v>
      </c>
      <c r="O139" s="92">
        <f>SUM(O135*1.22)</f>
        <v>612684</v>
      </c>
      <c r="P139" s="79" t="str">
        <f>"(15)"</f>
        <v>(15)</v>
      </c>
    </row>
    <row r="140" spans="2:16" ht="18" thickBot="1" x14ac:dyDescent="0.3">
      <c r="B140" s="777"/>
      <c r="C140" s="772"/>
      <c r="D140" s="772"/>
      <c r="E140" s="772"/>
      <c r="F140" s="772"/>
      <c r="G140" s="717"/>
      <c r="H140" s="159"/>
      <c r="I140" s="117">
        <f>SUM(K140+M140+O140)</f>
        <v>140796</v>
      </c>
      <c r="J140" s="118" t="str">
        <f>"(50)"</f>
        <v>(50)</v>
      </c>
      <c r="K140" s="85">
        <f>K136</f>
        <v>0</v>
      </c>
      <c r="L140" s="86" t="str">
        <f>"(50)"</f>
        <v>(50)</v>
      </c>
      <c r="M140" s="117">
        <f>M136</f>
        <v>57546</v>
      </c>
      <c r="N140" s="118" t="str">
        <f>"(50)"</f>
        <v>(50)</v>
      </c>
      <c r="O140" s="117">
        <f>O136</f>
        <v>83250</v>
      </c>
      <c r="P140" s="88" t="str">
        <f>"(50)"</f>
        <v>(50)</v>
      </c>
    </row>
    <row r="141" spans="2:16" ht="17.25" x14ac:dyDescent="0.25">
      <c r="B141" s="774" t="str">
        <f>'kuni 2025 detsember tegevuskava'!A49&amp;"/"&amp;'kuni 2025 detsember tegevuskava'!C49</f>
        <v>SOM/TEHIK/ Terviseamet</v>
      </c>
      <c r="C141" s="770" t="str">
        <f>'kuni 2025 detsember tegevuskava'!I49</f>
        <v xml:space="preserve">Ärianalüüs teostatud 2022 aastal. Nakkushaiguste infosüsteem (NAKIS) ei vasta Terviseameti (TA) ega ka partnerite tänastele vajadustele ja turvalisuse nõuetele ning ei ole kasutusel olevate registritega kooskõlas. </v>
      </c>
      <c r="D141" s="770" t="str">
        <f>'kuni 2025 detsember tegevuskava'!J49</f>
        <v>Uus nakkushaiguste infosüsteem*</v>
      </c>
      <c r="E141" s="770" t="str">
        <f>'kuni 2025 detsember tegevuskava'!K49</f>
        <v>2023 lõpp/2024 I kv lõpuks on teostatud hange ja leitud on partner detailanalüüsi ja arenduste läbiviimiseks. Projekti lõpuks on Terviseametil uus NAKIS infosüsteem ja loodud on kõik vajalikud liidesed teiste infosüsteemidega. 2024.a valmib detailanalüüs, arendustega alustame juba varem paralleelselt. </v>
      </c>
      <c r="F141" s="770" t="str">
        <f>'kuni 2025 detsember tegevuskava'!P49&amp;"/"</f>
        <v>SF 21-27 (taotletav raha)/</v>
      </c>
      <c r="G141" s="716" cm="1">
        <f t="array" ref="G141">_xlfn.IFS('kuni 2025 detsember tegevuskava'!G49='kuni 2025 detsember tegevuskava'!$G$77,1,'kuni 2025 detsember tegevuskava'!G49='kuni 2025 detsember tegevuskava'!$G$78,2,'kuni 2025 detsember tegevuskava'!G49='kuni 2025 detsember tegevuskava'!$G$79,3,'kuni 2025 detsember tegevuskava'!G49='kuni 2025 detsember tegevuskava'!$G$80,4)</f>
        <v>1</v>
      </c>
      <c r="H141" s="160" cm="1">
        <f t="array" ref="H141">_xlfn.IFS(OR('kuni 2025 detsember tegevuskava'!P49='kuni 2025 detsember tegevuskava'!$P$77,'kuni 2025 detsember tegevuskava'!P49='kuni 2025 detsember tegevuskava'!$P$79,'kuni 2025 detsember tegevuskava'!P49='kuni 2025 detsember tegevuskava'!$P$80,'kuni 2025 detsember tegevuskava'!P49='kuni 2025 detsember tegevuskava'!$P$81),1,'kuni 2025 detsember tegevuskava'!P49='kuni 2025 detsember tegevuskava'!$P$82,2,'kuni 2025 detsember tegevuskava'!P49='kuni 2025 detsember tegevuskava'!$P$83,2,'kuni 2025 detsember tegevuskava'!P49='kuni 2025 detsember tegevuskava'!$P$78,3)</f>
        <v>2</v>
      </c>
      <c r="I141" s="119">
        <f>SUM(I142:I143)</f>
        <v>847911</v>
      </c>
      <c r="J141" s="120"/>
      <c r="K141" s="73">
        <f>SUM(K142:K143)</f>
        <v>0</v>
      </c>
      <c r="L141" s="75"/>
      <c r="M141" s="119">
        <f>SUM(M142:M143)</f>
        <v>380501</v>
      </c>
      <c r="N141" s="120"/>
      <c r="O141" s="73">
        <f>SUM(O142:O143)</f>
        <v>467410</v>
      </c>
      <c r="P141" s="77"/>
    </row>
    <row r="142" spans="2:16" ht="17.25" x14ac:dyDescent="0.25">
      <c r="B142" s="775"/>
      <c r="C142" s="771"/>
      <c r="D142" s="771"/>
      <c r="E142" s="771"/>
      <c r="F142" s="771"/>
      <c r="G142" s="715"/>
      <c r="H142" s="706"/>
      <c r="I142" s="92">
        <f>SUM(K142+M142+O142)</f>
        <v>751160</v>
      </c>
      <c r="J142" s="93" t="str">
        <f>"(15)"</f>
        <v>(15)</v>
      </c>
      <c r="K142" s="705">
        <f>'kuni 2025 detsember tegevuskava'!X49</f>
        <v>0</v>
      </c>
      <c r="L142" s="702" t="str">
        <f>"(15)"</f>
        <v>(15)</v>
      </c>
      <c r="M142" s="92">
        <f>'kuni 2025 detsember tegevuskava'!AA49</f>
        <v>327800</v>
      </c>
      <c r="N142" s="93" t="str">
        <f>"(15)"</f>
        <v>(15)</v>
      </c>
      <c r="O142" s="705">
        <f>'kuni 2025 detsember tegevuskava'!AD49</f>
        <v>423360</v>
      </c>
      <c r="P142" s="79" t="str">
        <f>"(15)"</f>
        <v>(15)</v>
      </c>
    </row>
    <row r="143" spans="2:16" ht="17.25" x14ac:dyDescent="0.25">
      <c r="B143" s="775"/>
      <c r="C143" s="771"/>
      <c r="D143" s="771"/>
      <c r="E143" s="771"/>
      <c r="F143" s="771"/>
      <c r="G143" s="715"/>
      <c r="H143" s="706"/>
      <c r="I143" s="92">
        <f>SUM(K143+M143+O143)</f>
        <v>96751</v>
      </c>
      <c r="J143" s="93" t="str">
        <f>"(50)"</f>
        <v>(50)</v>
      </c>
      <c r="K143" s="705">
        <f>'kuni 2025 detsember tegevuskava'!Y49</f>
        <v>0</v>
      </c>
      <c r="L143" s="702" t="str">
        <f>"(50)"</f>
        <v>(50)</v>
      </c>
      <c r="M143" s="92">
        <f>'kuni 2025 detsember tegevuskava'!AB49</f>
        <v>52701</v>
      </c>
      <c r="N143" s="93" t="str">
        <f>"(50)"</f>
        <v>(50)</v>
      </c>
      <c r="O143" s="705">
        <f>'kuni 2025 detsember tegevuskava'!AE49</f>
        <v>44050</v>
      </c>
      <c r="P143" s="79" t="str">
        <f>"(50)"</f>
        <v>(50)</v>
      </c>
    </row>
    <row r="144" spans="2:16" ht="17.25" x14ac:dyDescent="0.25">
      <c r="B144" s="775"/>
      <c r="C144" s="771"/>
      <c r="D144" s="771"/>
      <c r="E144" s="771"/>
      <c r="F144" s="771"/>
      <c r="G144" s="715"/>
      <c r="H144" s="706"/>
      <c r="I144" s="155" t="s">
        <v>562</v>
      </c>
      <c r="J144" s="161"/>
      <c r="K144" s="161"/>
      <c r="L144" s="161"/>
      <c r="M144" s="161"/>
      <c r="N144" s="161"/>
      <c r="O144" s="161"/>
      <c r="P144" s="162"/>
    </row>
    <row r="145" spans="2:16" ht="17.25" x14ac:dyDescent="0.25">
      <c r="B145" s="775"/>
      <c r="C145" s="771"/>
      <c r="D145" s="771"/>
      <c r="E145" s="771"/>
      <c r="F145" s="771"/>
      <c r="G145" s="715"/>
      <c r="H145" s="706"/>
      <c r="I145" s="153">
        <f>SUM(I146:I147)</f>
        <v>1013166.2</v>
      </c>
      <c r="J145" s="93"/>
      <c r="K145" s="703">
        <f>SUM(K146:K147)</f>
        <v>0</v>
      </c>
      <c r="L145" s="704"/>
      <c r="M145" s="153">
        <f>SUM(M146:M147)</f>
        <v>452617</v>
      </c>
      <c r="N145" s="146"/>
      <c r="O145" s="153">
        <f>SUM(O146:O147)</f>
        <v>560549.19999999995</v>
      </c>
      <c r="P145" s="64"/>
    </row>
    <row r="146" spans="2:16" ht="17.25" x14ac:dyDescent="0.25">
      <c r="B146" s="775"/>
      <c r="C146" s="771"/>
      <c r="D146" s="771"/>
      <c r="E146" s="771"/>
      <c r="F146" s="771"/>
      <c r="G146" s="715"/>
      <c r="H146" s="706"/>
      <c r="I146" s="92">
        <f>SUM(K146+M146+O146)</f>
        <v>916415.2</v>
      </c>
      <c r="J146" s="93" t="str">
        <f>"(15)"</f>
        <v>(15)</v>
      </c>
      <c r="K146" s="705">
        <f>SUM(K142*1.2)</f>
        <v>0</v>
      </c>
      <c r="L146" s="702" t="str">
        <f>"(15)"</f>
        <v>(15)</v>
      </c>
      <c r="M146" s="92">
        <f>SUM(M142*1.22)</f>
        <v>399916</v>
      </c>
      <c r="N146" s="93" t="str">
        <f>"(15)"</f>
        <v>(15)</v>
      </c>
      <c r="O146" s="92">
        <f>SUM(O142*1.22)</f>
        <v>516499.20000000001</v>
      </c>
      <c r="P146" s="79" t="str">
        <f>"(15)"</f>
        <v>(15)</v>
      </c>
    </row>
    <row r="147" spans="2:16" ht="40.5" customHeight="1" thickBot="1" x14ac:dyDescent="0.3">
      <c r="B147" s="777"/>
      <c r="C147" s="772"/>
      <c r="D147" s="772"/>
      <c r="E147" s="772"/>
      <c r="F147" s="772"/>
      <c r="G147" s="717"/>
      <c r="H147" s="159"/>
      <c r="I147" s="117">
        <f>SUM(K147+M147+O147)</f>
        <v>96751</v>
      </c>
      <c r="J147" s="118" t="str">
        <f>"(50)"</f>
        <v>(50)</v>
      </c>
      <c r="K147" s="85">
        <f>K143</f>
        <v>0</v>
      </c>
      <c r="L147" s="86" t="str">
        <f>"(50)"</f>
        <v>(50)</v>
      </c>
      <c r="M147" s="117">
        <f>M143</f>
        <v>52701</v>
      </c>
      <c r="N147" s="118" t="str">
        <f>"(50)"</f>
        <v>(50)</v>
      </c>
      <c r="O147" s="117">
        <f>O143</f>
        <v>44050</v>
      </c>
      <c r="P147" s="88" t="str">
        <f>"(50)"</f>
        <v>(50)</v>
      </c>
    </row>
    <row r="148" spans="2:16" ht="17.25" x14ac:dyDescent="0.25">
      <c r="B148" s="774" t="str">
        <f>'kuni 2025 detsember tegevuskava'!A50&amp;"/"&amp;'kuni 2025 detsember tegevuskava'!C50</f>
        <v>SOM/TEHIK/ Terviseamet</v>
      </c>
      <c r="C148" s="770" t="str">
        <f>'kuni 2025 detsember tegevuskava'!I50</f>
        <v>Arendus, sh moodulite arendus, liidesed teiste süsteemidega, andmete migratsioon</v>
      </c>
      <c r="D148" s="770" t="str">
        <f>'kuni 2025 detsember tegevuskava'!J50</f>
        <v>Uue põlvkonna meditsiiniseadmete ja abivahendite andmekogu (MSA)*</v>
      </c>
      <c r="E148" s="770" t="str">
        <f>'kuni 2025 detsember tegevuskava'!K50</f>
        <v>2023 lõpp /2024 aasta Ikv viiakse läbi hange partneri leidmiseks ja võimalusel alustatakse arendustega. 2024 - 2026 arendus </v>
      </c>
      <c r="F148" s="770" t="str">
        <f>'kuni 2025 detsember tegevuskava'!P50&amp;"/"</f>
        <v>SF 21-27 (taotletav raha)/</v>
      </c>
      <c r="G148" s="716" cm="1">
        <f t="array" ref="G148">_xlfn.IFS('kuni 2025 detsember tegevuskava'!G50='kuni 2025 detsember tegevuskava'!$G$77,1,'kuni 2025 detsember tegevuskava'!G50='kuni 2025 detsember tegevuskava'!$G$78,2,'kuni 2025 detsember tegevuskava'!G50='kuni 2025 detsember tegevuskava'!$G$79,3,'kuni 2025 detsember tegevuskava'!G50='kuni 2025 detsember tegevuskava'!$G$80,4)</f>
        <v>1</v>
      </c>
      <c r="H148" s="160" cm="1">
        <f t="array" ref="H148">_xlfn.IFS(OR('kuni 2025 detsember tegevuskava'!P50='kuni 2025 detsember tegevuskava'!$P$77,'kuni 2025 detsember tegevuskava'!P50='kuni 2025 detsember tegevuskava'!$P$79,'kuni 2025 detsember tegevuskava'!P50='kuni 2025 detsember tegevuskava'!$P$80,'kuni 2025 detsember tegevuskava'!P50='kuni 2025 detsember tegevuskava'!$P$81),1,'kuni 2025 detsember tegevuskava'!P50='kuni 2025 detsember tegevuskava'!$P$82,2,'kuni 2025 detsember tegevuskava'!P50='kuni 2025 detsember tegevuskava'!$P$83,2,'kuni 2025 detsember tegevuskava'!P50='kuni 2025 detsember tegevuskava'!$P$78,3)</f>
        <v>2</v>
      </c>
      <c r="I148" s="119">
        <f>SUM(I149:I150)</f>
        <v>1324313</v>
      </c>
      <c r="J148" s="120"/>
      <c r="K148" s="73">
        <f>SUM(K149:K150)</f>
        <v>0</v>
      </c>
      <c r="L148" s="75"/>
      <c r="M148" s="119">
        <f>SUM(M149:M150)</f>
        <v>556173</v>
      </c>
      <c r="N148" s="120"/>
      <c r="O148" s="73">
        <f>SUM(O149:O150)</f>
        <v>768140</v>
      </c>
      <c r="P148" s="77"/>
    </row>
    <row r="149" spans="2:16" ht="17.25" x14ac:dyDescent="0.25">
      <c r="B149" s="775"/>
      <c r="C149" s="771"/>
      <c r="D149" s="771"/>
      <c r="E149" s="771"/>
      <c r="F149" s="771"/>
      <c r="G149" s="715"/>
      <c r="H149" s="706"/>
      <c r="I149" s="92">
        <f>SUM(K149+M149+O149)</f>
        <v>1202200</v>
      </c>
      <c r="J149" s="93" t="str">
        <f>"(15)"</f>
        <v>(15)</v>
      </c>
      <c r="K149" s="705">
        <f>'kuni 2025 detsember tegevuskava'!X50</f>
        <v>0</v>
      </c>
      <c r="L149" s="702" t="str">
        <f>"(15)"</f>
        <v>(15)</v>
      </c>
      <c r="M149" s="92">
        <f>'kuni 2025 detsember tegevuskava'!AA50</f>
        <v>500000</v>
      </c>
      <c r="N149" s="93" t="str">
        <f>"(15)"</f>
        <v>(15)</v>
      </c>
      <c r="O149" s="705">
        <f>'kuni 2025 detsember tegevuskava'!AD50</f>
        <v>702200</v>
      </c>
      <c r="P149" s="79" t="str">
        <f>"(15)"</f>
        <v>(15)</v>
      </c>
    </row>
    <row r="150" spans="2:16" ht="17.25" x14ac:dyDescent="0.25">
      <c r="B150" s="775"/>
      <c r="C150" s="771"/>
      <c r="D150" s="771"/>
      <c r="E150" s="771"/>
      <c r="F150" s="771"/>
      <c r="G150" s="715"/>
      <c r="H150" s="706"/>
      <c r="I150" s="92">
        <f>SUM(K150+M150+O150)</f>
        <v>122113</v>
      </c>
      <c r="J150" s="93" t="str">
        <f>"(50)"</f>
        <v>(50)</v>
      </c>
      <c r="K150" s="705">
        <f>'kuni 2025 detsember tegevuskava'!Y50</f>
        <v>0</v>
      </c>
      <c r="L150" s="702" t="str">
        <f>"(50)"</f>
        <v>(50)</v>
      </c>
      <c r="M150" s="92">
        <f>'kuni 2025 detsember tegevuskava'!AB50</f>
        <v>56173</v>
      </c>
      <c r="N150" s="93" t="str">
        <f>"(50)"</f>
        <v>(50)</v>
      </c>
      <c r="O150" s="705">
        <f>'kuni 2025 detsember tegevuskava'!AE50</f>
        <v>65940</v>
      </c>
      <c r="P150" s="79" t="str">
        <f>"(50)"</f>
        <v>(50)</v>
      </c>
    </row>
    <row r="151" spans="2:16" ht="17.25" x14ac:dyDescent="0.25">
      <c r="B151" s="775"/>
      <c r="C151" s="771"/>
      <c r="D151" s="771"/>
      <c r="E151" s="771"/>
      <c r="F151" s="771"/>
      <c r="G151" s="715"/>
      <c r="H151" s="706"/>
      <c r="I151" s="155" t="s">
        <v>562</v>
      </c>
      <c r="J151" s="161"/>
      <c r="K151" s="161"/>
      <c r="L151" s="161"/>
      <c r="M151" s="161"/>
      <c r="N151" s="161"/>
      <c r="O151" s="161"/>
      <c r="P151" s="162"/>
    </row>
    <row r="152" spans="2:16" ht="17.25" x14ac:dyDescent="0.25">
      <c r="B152" s="775"/>
      <c r="C152" s="771"/>
      <c r="D152" s="771"/>
      <c r="E152" s="771"/>
      <c r="F152" s="771"/>
      <c r="G152" s="715"/>
      <c r="H152" s="706"/>
      <c r="I152" s="153">
        <f>SUM(I153:I154)</f>
        <v>1588797</v>
      </c>
      <c r="J152" s="93"/>
      <c r="K152" s="703">
        <f>SUM(K153:K154)</f>
        <v>0</v>
      </c>
      <c r="L152" s="704"/>
      <c r="M152" s="153">
        <f>SUM(M153:M154)</f>
        <v>666173</v>
      </c>
      <c r="N152" s="146"/>
      <c r="O152" s="153">
        <f>SUM(O153:O154)</f>
        <v>922624</v>
      </c>
      <c r="P152" s="64"/>
    </row>
    <row r="153" spans="2:16" ht="17.25" x14ac:dyDescent="0.25">
      <c r="B153" s="775"/>
      <c r="C153" s="771"/>
      <c r="D153" s="771"/>
      <c r="E153" s="771"/>
      <c r="F153" s="771"/>
      <c r="G153" s="715"/>
      <c r="H153" s="706"/>
      <c r="I153" s="92">
        <f>SUM(K153+M153+O153)</f>
        <v>1466684</v>
      </c>
      <c r="J153" s="93" t="str">
        <f>"(15)"</f>
        <v>(15)</v>
      </c>
      <c r="K153" s="705">
        <f>SUM(K149*1.2)</f>
        <v>0</v>
      </c>
      <c r="L153" s="702" t="str">
        <f>"(15)"</f>
        <v>(15)</v>
      </c>
      <c r="M153" s="92">
        <f>SUM(M149*1.22)</f>
        <v>610000</v>
      </c>
      <c r="N153" s="93" t="str">
        <f>"(15)"</f>
        <v>(15)</v>
      </c>
      <c r="O153" s="92">
        <f>SUM(O149*1.22)</f>
        <v>856684</v>
      </c>
      <c r="P153" s="79" t="str">
        <f>"(15)"</f>
        <v>(15)</v>
      </c>
    </row>
    <row r="154" spans="2:16" ht="18" thickBot="1" x14ac:dyDescent="0.3">
      <c r="B154" s="777"/>
      <c r="C154" s="772"/>
      <c r="D154" s="772"/>
      <c r="E154" s="772"/>
      <c r="F154" s="772"/>
      <c r="G154" s="717"/>
      <c r="H154" s="159"/>
      <c r="I154" s="117">
        <f>SUM(K154+M154+O154)</f>
        <v>122113</v>
      </c>
      <c r="J154" s="118" t="str">
        <f>"(50)"</f>
        <v>(50)</v>
      </c>
      <c r="K154" s="85">
        <f>K150</f>
        <v>0</v>
      </c>
      <c r="L154" s="86" t="str">
        <f>"(50)"</f>
        <v>(50)</v>
      </c>
      <c r="M154" s="117">
        <f>M150</f>
        <v>56173</v>
      </c>
      <c r="N154" s="118" t="str">
        <f>"(50)"</f>
        <v>(50)</v>
      </c>
      <c r="O154" s="117">
        <f>O150</f>
        <v>65940</v>
      </c>
      <c r="P154" s="88" t="str">
        <f>"(50)"</f>
        <v>(50)</v>
      </c>
    </row>
    <row r="155" spans="2:16" ht="17.25" x14ac:dyDescent="0.25">
      <c r="B155" s="774" t="str">
        <f>'kuni 2025 detsember tegevuskava'!A51&amp;"/"&amp;'kuni 2025 detsember tegevuskava'!C51</f>
        <v>SOM/TAI</v>
      </c>
      <c r="C155" s="770" t="str">
        <f>'kuni 2025 detsember tegevuskava'!I51</f>
        <v xml:space="preserve">Tervisestatistilisi andmeid kogutakse hetkel agregeeritud aruannetega andmete kogumisplatvormi A-veeb kaudu. Eesmärk on vähendada tervishoiuteenuse osutajate andmete esitamise koormust ning võtta kasutusele maksimaalselt tervise infosüsteemi individuaalsed andmed. Senine agregeeritud andmete kogumise platvorm A-veeb suletakse. </v>
      </c>
      <c r="D155" s="770" t="str">
        <f>'kuni 2025 detsember tegevuskava'!J51</f>
        <v>Tervisestatistika andmekogumisel uuele metoodikale üleminek (vajab peale ärianalüüsi summa ja skoobi täpsustust)</v>
      </c>
      <c r="E155" s="770" t="str">
        <f>'kuni 2025 detsember tegevuskava'!K51</f>
        <v>2024. a tulemuseks on ärianalüüsi valmimine (TAI rahastab).
2024. a jooksul valmib detailne arendusprojekti plaan ja alustatakse hanke läbiviimist. 
2025. - 2026. a arendatakse välja maksimaalselt parim lahendus TIS andmete kasutusele võtmiseks tervisestatistika tegemisel. Alates andmekvaliteedi tagamisest kuni andmevoogude liikumiseni TEHIK-TAI suunal. Paralleelselt testitakse arenduse toimivust ja 
2027. a on arenduse </v>
      </c>
      <c r="F155" s="770" t="str">
        <f>'kuni 2025 detsember tegevuskava'!P51&amp;"/"</f>
        <v>SF 21-27 (taotletav raha)/</v>
      </c>
      <c r="G155" s="716" cm="1">
        <f t="array" ref="G155">_xlfn.IFS('kuni 2025 detsember tegevuskava'!G51='kuni 2025 detsember tegevuskava'!$G$77,1,'kuni 2025 detsember tegevuskava'!G51='kuni 2025 detsember tegevuskava'!$G$78,2,'kuni 2025 detsember tegevuskava'!G51='kuni 2025 detsember tegevuskava'!$G$79,3,'kuni 2025 detsember tegevuskava'!G51='kuni 2025 detsember tegevuskava'!$G$80,4)</f>
        <v>1</v>
      </c>
      <c r="H155" s="160" cm="1">
        <f t="array" ref="H155">_xlfn.IFS(OR('kuni 2025 detsember tegevuskava'!P51='kuni 2025 detsember tegevuskava'!$P$77,'kuni 2025 detsember tegevuskava'!P51='kuni 2025 detsember tegevuskava'!$P$79,'kuni 2025 detsember tegevuskava'!P51='kuni 2025 detsember tegevuskava'!$P$80,'kuni 2025 detsember tegevuskava'!P51='kuni 2025 detsember tegevuskava'!$P$81),1,'kuni 2025 detsember tegevuskava'!P51='kuni 2025 detsember tegevuskava'!$P$82,2,'kuni 2025 detsember tegevuskava'!P51='kuni 2025 detsember tegevuskava'!$P$83,2,'kuni 2025 detsember tegevuskava'!P51='kuni 2025 detsember tegevuskava'!$P$78,3)</f>
        <v>2</v>
      </c>
      <c r="I155" s="119">
        <f>SUM(I156:I157)</f>
        <v>487641</v>
      </c>
      <c r="J155" s="120"/>
      <c r="K155" s="73">
        <f>SUM(K156:K157)</f>
        <v>0</v>
      </c>
      <c r="L155" s="75"/>
      <c r="M155" s="119">
        <f>SUM(M156:M157)</f>
        <v>79666</v>
      </c>
      <c r="N155" s="120"/>
      <c r="O155" s="73">
        <f>SUM(O156:O157)</f>
        <v>407975</v>
      </c>
      <c r="P155" s="77"/>
    </row>
    <row r="156" spans="2:16" ht="17.25" x14ac:dyDescent="0.25">
      <c r="B156" s="775"/>
      <c r="C156" s="771"/>
      <c r="D156" s="771"/>
      <c r="E156" s="771"/>
      <c r="F156" s="771"/>
      <c r="G156" s="715"/>
      <c r="H156" s="706"/>
      <c r="I156" s="92">
        <f>SUM(K156+M156+O156)</f>
        <v>369000</v>
      </c>
      <c r="J156" s="93" t="str">
        <f>"(15)"</f>
        <v>(15)</v>
      </c>
      <c r="K156" s="705">
        <f>'kuni 2025 detsember tegevuskava'!X51</f>
        <v>0</v>
      </c>
      <c r="L156" s="702" t="str">
        <f>"(15)"</f>
        <v>(15)</v>
      </c>
      <c r="M156" s="92">
        <f>'kuni 2025 detsember tegevuskava'!AA51</f>
        <v>30500</v>
      </c>
      <c r="N156" s="93" t="str">
        <f>"(15)"</f>
        <v>(15)</v>
      </c>
      <c r="O156" s="705">
        <f>'kuni 2025 detsember tegevuskava'!AD51</f>
        <v>338500</v>
      </c>
      <c r="P156" s="79" t="str">
        <f>"(15)"</f>
        <v>(15)</v>
      </c>
    </row>
    <row r="157" spans="2:16" ht="17.25" x14ac:dyDescent="0.25">
      <c r="B157" s="775"/>
      <c r="C157" s="771"/>
      <c r="D157" s="771"/>
      <c r="E157" s="771"/>
      <c r="F157" s="771"/>
      <c r="G157" s="715"/>
      <c r="H157" s="706"/>
      <c r="I157" s="92">
        <f>SUM(K157+M157+O157)</f>
        <v>118641</v>
      </c>
      <c r="J157" s="93" t="str">
        <f>"(50)"</f>
        <v>(50)</v>
      </c>
      <c r="K157" s="705">
        <f>'kuni 2025 detsember tegevuskava'!Y51</f>
        <v>0</v>
      </c>
      <c r="L157" s="702" t="str">
        <f>"(50)"</f>
        <v>(50)</v>
      </c>
      <c r="M157" s="92">
        <f>'kuni 2025 detsember tegevuskava'!AB51</f>
        <v>49166</v>
      </c>
      <c r="N157" s="93" t="str">
        <f>"(50)"</f>
        <v>(50)</v>
      </c>
      <c r="O157" s="705">
        <f>'kuni 2025 detsember tegevuskava'!AE51</f>
        <v>69475</v>
      </c>
      <c r="P157" s="79" t="str">
        <f>"(50)"</f>
        <v>(50)</v>
      </c>
    </row>
    <row r="158" spans="2:16" ht="17.25" x14ac:dyDescent="0.25">
      <c r="B158" s="775"/>
      <c r="C158" s="771"/>
      <c r="D158" s="771"/>
      <c r="E158" s="771"/>
      <c r="F158" s="771"/>
      <c r="G158" s="715"/>
      <c r="H158" s="706"/>
      <c r="I158" s="155" t="s">
        <v>562</v>
      </c>
      <c r="J158" s="161"/>
      <c r="K158" s="161"/>
      <c r="L158" s="161"/>
      <c r="M158" s="161"/>
      <c r="N158" s="161"/>
      <c r="O158" s="161"/>
      <c r="P158" s="162"/>
    </row>
    <row r="159" spans="2:16" ht="17.25" x14ac:dyDescent="0.25">
      <c r="B159" s="775"/>
      <c r="C159" s="771"/>
      <c r="D159" s="771"/>
      <c r="E159" s="771"/>
      <c r="F159" s="771"/>
      <c r="G159" s="715"/>
      <c r="H159" s="706"/>
      <c r="I159" s="153">
        <f>SUM(I160:I161)</f>
        <v>568821</v>
      </c>
      <c r="J159" s="93"/>
      <c r="K159" s="703">
        <f>SUM(K160:K161)</f>
        <v>0</v>
      </c>
      <c r="L159" s="704"/>
      <c r="M159" s="153">
        <f>SUM(M160:M161)</f>
        <v>86376</v>
      </c>
      <c r="N159" s="146"/>
      <c r="O159" s="153">
        <f>SUM(O160:O161)</f>
        <v>482445</v>
      </c>
      <c r="P159" s="64"/>
    </row>
    <row r="160" spans="2:16" ht="17.25" x14ac:dyDescent="0.25">
      <c r="B160" s="775"/>
      <c r="C160" s="771"/>
      <c r="D160" s="771"/>
      <c r="E160" s="771"/>
      <c r="F160" s="771"/>
      <c r="G160" s="715"/>
      <c r="H160" s="706"/>
      <c r="I160" s="92">
        <f>SUM(K160+M160+O160)</f>
        <v>450180</v>
      </c>
      <c r="J160" s="93" t="str">
        <f>"(15)"</f>
        <v>(15)</v>
      </c>
      <c r="K160" s="705">
        <f>SUM(K156*1.2)</f>
        <v>0</v>
      </c>
      <c r="L160" s="702" t="str">
        <f>"(15)"</f>
        <v>(15)</v>
      </c>
      <c r="M160" s="92">
        <f>SUM(M156*1.22)</f>
        <v>37210</v>
      </c>
      <c r="N160" s="93" t="str">
        <f>"(15)"</f>
        <v>(15)</v>
      </c>
      <c r="O160" s="92">
        <f>SUM(O156*1.22)</f>
        <v>412970</v>
      </c>
      <c r="P160" s="79" t="str">
        <f>"(15)"</f>
        <v>(15)</v>
      </c>
    </row>
    <row r="161" spans="2:16" ht="114" customHeight="1" thickBot="1" x14ac:dyDescent="0.3">
      <c r="B161" s="777"/>
      <c r="C161" s="772"/>
      <c r="D161" s="772"/>
      <c r="E161" s="772"/>
      <c r="F161" s="772"/>
      <c r="G161" s="717"/>
      <c r="H161" s="159"/>
      <c r="I161" s="117">
        <f>SUM(K161+M161+O161)</f>
        <v>118641</v>
      </c>
      <c r="J161" s="118" t="str">
        <f>"(50)"</f>
        <v>(50)</v>
      </c>
      <c r="K161" s="85">
        <f>K157</f>
        <v>0</v>
      </c>
      <c r="L161" s="86" t="str">
        <f>"(50)"</f>
        <v>(50)</v>
      </c>
      <c r="M161" s="117">
        <f>M157</f>
        <v>49166</v>
      </c>
      <c r="N161" s="118" t="str">
        <f>"(50)"</f>
        <v>(50)</v>
      </c>
      <c r="O161" s="117">
        <f>O157</f>
        <v>69475</v>
      </c>
      <c r="P161" s="88" t="str">
        <f>"(50)"</f>
        <v>(50)</v>
      </c>
    </row>
    <row r="162" spans="2:16" ht="17.25" x14ac:dyDescent="0.25">
      <c r="B162" s="774" t="str">
        <f>'kuni 2025 detsember tegevuskava'!A52&amp;"/"&amp;'kuni 2025 detsember tegevuskava'!C52</f>
        <v>SOM/Ravimiamet</v>
      </c>
      <c r="C162" s="770" t="str">
        <f>'kuni 2025 detsember tegevuskava'!I52</f>
        <v>Ravimiameti hallatavaid andmeid kasutavad Eestis apteekrite ja ravimite hulgimüüjate infosüsteemid, meditsiinitöötajate infosüsteemid. Osaliselt ei arvesta kasutusel olevad süsteemid aga hetkel kaasaegsete andmestandarditega ega ole tehniliselt ajakohased.</v>
      </c>
      <c r="D162" s="770" t="str">
        <f>'kuni 2025 detsember tegevuskava'!J52</f>
        <v xml:space="preserve">Ravimiameti analüüsilahenduse loomine </v>
      </c>
      <c r="E162" s="770" t="str">
        <f>'kuni 2025 detsember tegevuskava'!K52</f>
        <v>2024 suvi hange arenduspartneri leidmiseks ja algab ärianalüüs, IV kvartalis algab paralleelselt ka süsteemianalüüs ja arendus
Ravimiameti hallatavate ravimite kohta adekvaatse, ajakohase info kättesaadavuse parandamine kodanikele, tervishoiutöötajatele ja otsustajatele, mis toetaks ravimite efektiivset käsitlemist tervishoiusüsteemi(de)s . - Alameesmärgiks on Ravimiameti poolt hallatavate ravimeid puudutavate andmestike ja nende andmestike haldusprotsesside korrastus
Alameesmärgiks on andmevahetussüsteemide eelduste loomine Ravimiameti ja teiste tervisevaldkonnas tegutsevate osapoolte vahel (nt Tervisekassa, haiglad, perearsti keskused, jms), tagamaks Ravimiameti andmestike vastavust kaasaegsetele standarditele
Alameesmärgiks on tagada andmekogude vaheline andmevahetus, sh tarbime andmeid selle allikast ja ei dubleeri andmeid.
Ravimite hulgimüügistatistikat puudutav andmestik on viidud andmeaita ja kasutusele on võetud analüüsilahendus.  2025 aasta lõpuks on planeeritud, et on 
-	olemas analüüsid uue lahenduse kavandina
-	rakendatud automatiseeritud kontrolltoimingud andmekvaliteedi tagamiseks
-	uuendatud andmekorjeprotsess</v>
      </c>
      <c r="F162" s="770" t="str">
        <f>'kuni 2025 detsember tegevuskava'!P52&amp;"/"</f>
        <v>SF 21-27 (taotletav raha)/</v>
      </c>
      <c r="G162" s="716" cm="1">
        <f t="array" ref="G162">_xlfn.IFS('kuni 2025 detsember tegevuskava'!G52='kuni 2025 detsember tegevuskava'!$G$77,1,'kuni 2025 detsember tegevuskava'!G52='kuni 2025 detsember tegevuskava'!$G$78,2,'kuni 2025 detsember tegevuskava'!G52='kuni 2025 detsember tegevuskava'!$G$79,3,'kuni 2025 detsember tegevuskava'!G52='kuni 2025 detsember tegevuskava'!$G$80,4)</f>
        <v>1</v>
      </c>
      <c r="H162" s="160" cm="1">
        <f t="array" ref="H162">_xlfn.IFS(OR('kuni 2025 detsember tegevuskava'!P52='kuni 2025 detsember tegevuskava'!$P$77,'kuni 2025 detsember tegevuskava'!P52='kuni 2025 detsember tegevuskava'!$P$79,'kuni 2025 detsember tegevuskava'!P52='kuni 2025 detsember tegevuskava'!$P$80,'kuni 2025 detsember tegevuskava'!P52='kuni 2025 detsember tegevuskava'!$P$81),1,'kuni 2025 detsember tegevuskava'!P52='kuni 2025 detsember tegevuskava'!$P$82,2,'kuni 2025 detsember tegevuskava'!P52='kuni 2025 detsember tegevuskava'!$P$83,2,'kuni 2025 detsember tegevuskava'!P52='kuni 2025 detsember tegevuskava'!$P$78,3)</f>
        <v>2</v>
      </c>
      <c r="I162" s="119">
        <f>SUM(I163:I164)</f>
        <v>531057</v>
      </c>
      <c r="J162" s="120"/>
      <c r="K162" s="73">
        <f>SUM(K163:K164)</f>
        <v>0</v>
      </c>
      <c r="L162" s="75"/>
      <c r="M162" s="119">
        <f>SUM(M163:M164)</f>
        <v>235767</v>
      </c>
      <c r="N162" s="120"/>
      <c r="O162" s="73">
        <f>SUM(O163:O164)</f>
        <v>295290</v>
      </c>
      <c r="P162" s="77"/>
    </row>
    <row r="163" spans="2:16" ht="17.25" x14ac:dyDescent="0.25">
      <c r="B163" s="775"/>
      <c r="C163" s="771"/>
      <c r="D163" s="771"/>
      <c r="E163" s="771"/>
      <c r="F163" s="771"/>
      <c r="G163" s="715"/>
      <c r="H163" s="706"/>
      <c r="I163" s="92">
        <f>SUM(K163+M163+O163)</f>
        <v>350910</v>
      </c>
      <c r="J163" s="93" t="str">
        <f>"(15)"</f>
        <v>(15)</v>
      </c>
      <c r="K163" s="705">
        <f>'kuni 2025 detsember tegevuskava'!X52</f>
        <v>0</v>
      </c>
      <c r="L163" s="702" t="str">
        <f>"(15)"</f>
        <v>(15)</v>
      </c>
      <c r="M163" s="92">
        <f>'kuni 2025 detsember tegevuskava'!AA52</f>
        <v>157040</v>
      </c>
      <c r="N163" s="93" t="str">
        <f>"(15)"</f>
        <v>(15)</v>
      </c>
      <c r="O163" s="705">
        <f>'kuni 2025 detsember tegevuskava'!AD52</f>
        <v>193870</v>
      </c>
      <c r="P163" s="79" t="str">
        <f>"(15)"</f>
        <v>(15)</v>
      </c>
    </row>
    <row r="164" spans="2:16" ht="17.25" x14ac:dyDescent="0.25">
      <c r="B164" s="775"/>
      <c r="C164" s="771"/>
      <c r="D164" s="771"/>
      <c r="E164" s="771"/>
      <c r="F164" s="771"/>
      <c r="G164" s="715"/>
      <c r="H164" s="706"/>
      <c r="I164" s="92">
        <f>SUM(K164+M164+O164)</f>
        <v>180147</v>
      </c>
      <c r="J164" s="93" t="str">
        <f>"(50)"</f>
        <v>(50)</v>
      </c>
      <c r="K164" s="705">
        <f>'kuni 2025 detsember tegevuskava'!Y52</f>
        <v>0</v>
      </c>
      <c r="L164" s="702" t="str">
        <f>"(50)"</f>
        <v>(50)</v>
      </c>
      <c r="M164" s="92">
        <f>'kuni 2025 detsember tegevuskava'!AB52</f>
        <v>78727</v>
      </c>
      <c r="N164" s="93" t="str">
        <f>"(50)"</f>
        <v>(50)</v>
      </c>
      <c r="O164" s="705">
        <f>'kuni 2025 detsember tegevuskava'!AE52</f>
        <v>101420</v>
      </c>
      <c r="P164" s="79" t="str">
        <f>"(50)"</f>
        <v>(50)</v>
      </c>
    </row>
    <row r="165" spans="2:16" ht="17.25" x14ac:dyDescent="0.25">
      <c r="B165" s="775"/>
      <c r="C165" s="771"/>
      <c r="D165" s="771"/>
      <c r="E165" s="771"/>
      <c r="F165" s="771"/>
      <c r="G165" s="715"/>
      <c r="H165" s="706"/>
      <c r="I165" s="155" t="s">
        <v>562</v>
      </c>
      <c r="J165" s="161"/>
      <c r="K165" s="161"/>
      <c r="L165" s="161"/>
      <c r="M165" s="161"/>
      <c r="N165" s="161"/>
      <c r="O165" s="161"/>
      <c r="P165" s="162"/>
    </row>
    <row r="166" spans="2:16" ht="17.25" x14ac:dyDescent="0.25">
      <c r="B166" s="775"/>
      <c r="C166" s="771"/>
      <c r="D166" s="771"/>
      <c r="E166" s="771"/>
      <c r="F166" s="771"/>
      <c r="G166" s="715"/>
      <c r="H166" s="706"/>
      <c r="I166" s="153">
        <f>SUM(I167:I168)</f>
        <v>608257.19999999995</v>
      </c>
      <c r="J166" s="93"/>
      <c r="K166" s="703">
        <f>SUM(K167:K168)</f>
        <v>0</v>
      </c>
      <c r="L166" s="704"/>
      <c r="M166" s="153">
        <f>SUM(M167:M168)</f>
        <v>270315.8</v>
      </c>
      <c r="N166" s="146"/>
      <c r="O166" s="153">
        <f>SUM(O167:O168)</f>
        <v>337941.4</v>
      </c>
      <c r="P166" s="64"/>
    </row>
    <row r="167" spans="2:16" ht="17.25" x14ac:dyDescent="0.25">
      <c r="B167" s="775"/>
      <c r="C167" s="771"/>
      <c r="D167" s="771"/>
      <c r="E167" s="771"/>
      <c r="F167" s="771"/>
      <c r="G167" s="715"/>
      <c r="H167" s="706"/>
      <c r="I167" s="92">
        <f>SUM(K167+M167+O167)</f>
        <v>428110.19999999995</v>
      </c>
      <c r="J167" s="93" t="str">
        <f>"(15)"</f>
        <v>(15)</v>
      </c>
      <c r="K167" s="705">
        <f>SUM(K163*1.2)</f>
        <v>0</v>
      </c>
      <c r="L167" s="702" t="str">
        <f>"(15)"</f>
        <v>(15)</v>
      </c>
      <c r="M167" s="92">
        <f>SUM(M163*1.22)</f>
        <v>191588.8</v>
      </c>
      <c r="N167" s="93" t="str">
        <f>"(15)"</f>
        <v>(15)</v>
      </c>
      <c r="O167" s="92">
        <f>SUM(O163*1.22)</f>
        <v>236521.4</v>
      </c>
      <c r="P167" s="79" t="str">
        <f>"(15)"</f>
        <v>(15)</v>
      </c>
    </row>
    <row r="168" spans="2:16" ht="409.5" customHeight="1" thickBot="1" x14ac:dyDescent="0.3">
      <c r="B168" s="777"/>
      <c r="C168" s="772"/>
      <c r="D168" s="772"/>
      <c r="E168" s="772"/>
      <c r="F168" s="772"/>
      <c r="G168" s="717"/>
      <c r="H168" s="159"/>
      <c r="I168" s="117">
        <f>SUM(K168+M168+O168)</f>
        <v>180147</v>
      </c>
      <c r="J168" s="118" t="str">
        <f>"(50)"</f>
        <v>(50)</v>
      </c>
      <c r="K168" s="85">
        <f>K164</f>
        <v>0</v>
      </c>
      <c r="L168" s="86" t="str">
        <f>"(50)"</f>
        <v>(50)</v>
      </c>
      <c r="M168" s="117">
        <f>M164</f>
        <v>78727</v>
      </c>
      <c r="N168" s="118" t="str">
        <f>"(50)"</f>
        <v>(50)</v>
      </c>
      <c r="O168" s="117">
        <f>O164</f>
        <v>101420</v>
      </c>
      <c r="P168" s="88" t="str">
        <f>"(50)"</f>
        <v>(50)</v>
      </c>
    </row>
    <row r="169" spans="2:16" ht="17.25" x14ac:dyDescent="0.25">
      <c r="B169" s="774" t="str">
        <f>'kuni 2025 detsember tegevuskava'!A53&amp;"/"&amp;'kuni 2025 detsember tegevuskava'!C53</f>
        <v>SOM/Ravimiamet</v>
      </c>
      <c r="C169" s="770" t="str">
        <f>'kuni 2025 detsember tegevuskava'!I53</f>
        <v>Mitmed seadusest tulenevad töölõigud ei ole Ravimiametis hetkel digitaalselt rahuldavalt toetatud, ajakulukad ning piiratud määral läbipaistvad. Kasutusel olev lahendus on tehniliselt vananenud</v>
      </c>
      <c r="D169" s="770" t="str">
        <f>'kuni 2025 detsember tegevuskava'!J53</f>
        <v xml:space="preserve">Ravimiameti ravimitega seonduvate menetlusprotsesside ühtlustamine ja uuendamine  </v>
      </c>
      <c r="E169" s="770" t="str">
        <f>'kuni 2025 detsember tegevuskava'!K53</f>
        <v xml:space="preserve">2024 I kvartal hange arenduspartneri leidmiseks , 2024 III kvartal algab ärianalüüs, süsteemianalüüs. ja arendus. 
Ravimiameti ravimitega seonduvate menetlusprotsesside ühtlustamine ja uuendamine . 2025 aasta lõpuks on planeeritud, et Ravimiameti infosüsteemi Samtrack 2 on 
-	loodud/integreeritud funktsionaalsusi, mis oleks kooskõlas Samtrack 2 loogikaga ja toetavad Ravimiameti maaletoomislubade, müügiloata ravimite ja narkootiliste ja psühhotroopsete ravimite menetlust ning eriluba nõudvate kaupade ja ravimite ning ravimite tarneraskuste toiminguid, mida hetkel teostatakse vananenud infosüsteemide toel. </v>
      </c>
      <c r="F169" s="770" t="str">
        <f>'kuni 2025 detsember tegevuskava'!P53&amp;"/"</f>
        <v>SF 21-27 (taotletav raha)/</v>
      </c>
      <c r="G169" s="716" cm="1">
        <f t="array" ref="G169">_xlfn.IFS('kuni 2025 detsember tegevuskava'!G53='kuni 2025 detsember tegevuskava'!$G$77,1,'kuni 2025 detsember tegevuskava'!G53='kuni 2025 detsember tegevuskava'!$G$78,2,'kuni 2025 detsember tegevuskava'!G53='kuni 2025 detsember tegevuskava'!$G$79,3,'kuni 2025 detsember tegevuskava'!G53='kuni 2025 detsember tegevuskava'!$G$80,4)</f>
        <v>1</v>
      </c>
      <c r="H169" s="160" cm="1">
        <f t="array" ref="H169">_xlfn.IFS(OR('kuni 2025 detsember tegevuskava'!P53='kuni 2025 detsember tegevuskava'!$P$77,'kuni 2025 detsember tegevuskava'!P53='kuni 2025 detsember tegevuskava'!$P$79,'kuni 2025 detsember tegevuskava'!P53='kuni 2025 detsember tegevuskava'!$P$80,'kuni 2025 detsember tegevuskava'!P53='kuni 2025 detsember tegevuskava'!$P$81),1,'kuni 2025 detsember tegevuskava'!P53='kuni 2025 detsember tegevuskava'!$P$82,2,'kuni 2025 detsember tegevuskava'!P53='kuni 2025 detsember tegevuskava'!$P$83,2,'kuni 2025 detsember tegevuskava'!P53='kuni 2025 detsember tegevuskava'!$P$78,3)</f>
        <v>2</v>
      </c>
      <c r="I169" s="119">
        <f>SUM(I170:I171)</f>
        <v>547686</v>
      </c>
      <c r="J169" s="120"/>
      <c r="K169" s="73">
        <f>SUM(K170:K171)</f>
        <v>0</v>
      </c>
      <c r="L169" s="75"/>
      <c r="M169" s="119">
        <f>SUM(M170:M171)</f>
        <v>370870</v>
      </c>
      <c r="N169" s="120"/>
      <c r="O169" s="73">
        <f>SUM(O170:O171)</f>
        <v>176816</v>
      </c>
      <c r="P169" s="77"/>
    </row>
    <row r="170" spans="2:16" ht="17.25" x14ac:dyDescent="0.25">
      <c r="B170" s="775"/>
      <c r="C170" s="771"/>
      <c r="D170" s="771"/>
      <c r="E170" s="771"/>
      <c r="F170" s="771"/>
      <c r="G170" s="715"/>
      <c r="H170" s="706"/>
      <c r="I170" s="92">
        <f>SUM(K170+M170+O170)</f>
        <v>473736</v>
      </c>
      <c r="J170" s="93" t="str">
        <f>"(15)"</f>
        <v>(15)</v>
      </c>
      <c r="K170" s="705">
        <f>'kuni 2025 detsember tegevuskava'!X53</f>
        <v>0</v>
      </c>
      <c r="L170" s="702" t="str">
        <f>"(15)"</f>
        <v>(15)</v>
      </c>
      <c r="M170" s="92">
        <f>'kuni 2025 detsember tegevuskava'!AA53</f>
        <v>323840</v>
      </c>
      <c r="N170" s="93" t="str">
        <f>"(15)"</f>
        <v>(15)</v>
      </c>
      <c r="O170" s="705">
        <f>'kuni 2025 detsember tegevuskava'!AD53</f>
        <v>149896</v>
      </c>
      <c r="P170" s="79" t="str">
        <f>"(15)"</f>
        <v>(15)</v>
      </c>
    </row>
    <row r="171" spans="2:16" ht="17.25" x14ac:dyDescent="0.25">
      <c r="B171" s="775"/>
      <c r="C171" s="771"/>
      <c r="D171" s="771"/>
      <c r="E171" s="771"/>
      <c r="F171" s="771"/>
      <c r="G171" s="715"/>
      <c r="H171" s="706"/>
      <c r="I171" s="92">
        <f>SUM(K171+M171+O171)</f>
        <v>73950</v>
      </c>
      <c r="J171" s="93" t="str">
        <f>"(50)"</f>
        <v>(50)</v>
      </c>
      <c r="K171" s="705">
        <f>'kuni 2025 detsember tegevuskava'!Y53</f>
        <v>0</v>
      </c>
      <c r="L171" s="702" t="str">
        <f>"(50)"</f>
        <v>(50)</v>
      </c>
      <c r="M171" s="92">
        <f>'kuni 2025 detsember tegevuskava'!AB53</f>
        <v>47030</v>
      </c>
      <c r="N171" s="93" t="str">
        <f>"(50)"</f>
        <v>(50)</v>
      </c>
      <c r="O171" s="705">
        <f>'kuni 2025 detsember tegevuskava'!AE53</f>
        <v>26920</v>
      </c>
      <c r="P171" s="79" t="str">
        <f>"(50)"</f>
        <v>(50)</v>
      </c>
    </row>
    <row r="172" spans="2:16" ht="17.25" x14ac:dyDescent="0.25">
      <c r="B172" s="775"/>
      <c r="C172" s="771"/>
      <c r="D172" s="771"/>
      <c r="E172" s="771"/>
      <c r="F172" s="771"/>
      <c r="G172" s="715"/>
      <c r="H172" s="706"/>
      <c r="I172" s="155" t="s">
        <v>562</v>
      </c>
      <c r="J172" s="161"/>
      <c r="K172" s="161"/>
      <c r="L172" s="161"/>
      <c r="M172" s="161"/>
      <c r="N172" s="161"/>
      <c r="O172" s="161"/>
      <c r="P172" s="162"/>
    </row>
    <row r="173" spans="2:16" ht="17.25" x14ac:dyDescent="0.25">
      <c r="B173" s="775"/>
      <c r="C173" s="771"/>
      <c r="D173" s="771"/>
      <c r="E173" s="771"/>
      <c r="F173" s="771"/>
      <c r="G173" s="715"/>
      <c r="H173" s="706"/>
      <c r="I173" s="153">
        <f>SUM(I174:I175)</f>
        <v>651907.91999999993</v>
      </c>
      <c r="J173" s="93"/>
      <c r="K173" s="703">
        <f>SUM(K174:K175)</f>
        <v>0</v>
      </c>
      <c r="L173" s="704"/>
      <c r="M173" s="153">
        <f>SUM(M174:M175)</f>
        <v>442114.8</v>
      </c>
      <c r="N173" s="146"/>
      <c r="O173" s="153">
        <f>SUM(O174:O175)</f>
        <v>209793.12</v>
      </c>
      <c r="P173" s="64"/>
    </row>
    <row r="174" spans="2:16" ht="17.25" x14ac:dyDescent="0.25">
      <c r="B174" s="775"/>
      <c r="C174" s="771"/>
      <c r="D174" s="771"/>
      <c r="E174" s="771"/>
      <c r="F174" s="771"/>
      <c r="G174" s="715"/>
      <c r="H174" s="706"/>
      <c r="I174" s="92">
        <f>SUM(K174+M174+O174)</f>
        <v>577957.91999999993</v>
      </c>
      <c r="J174" s="93" t="str">
        <f>"(15)"</f>
        <v>(15)</v>
      </c>
      <c r="K174" s="705">
        <f>SUM(K170*1.2)</f>
        <v>0</v>
      </c>
      <c r="L174" s="702" t="str">
        <f>"(15)"</f>
        <v>(15)</v>
      </c>
      <c r="M174" s="92">
        <f>SUM(M170*1.22)</f>
        <v>395084.79999999999</v>
      </c>
      <c r="N174" s="93" t="str">
        <f>"(15)"</f>
        <v>(15)</v>
      </c>
      <c r="O174" s="92">
        <f>SUM(O170*1.22)</f>
        <v>182873.12</v>
      </c>
      <c r="P174" s="79" t="str">
        <f>"(15)"</f>
        <v>(15)</v>
      </c>
    </row>
    <row r="175" spans="2:16" ht="184.5" customHeight="1" thickBot="1" x14ac:dyDescent="0.3">
      <c r="B175" s="777"/>
      <c r="C175" s="772"/>
      <c r="D175" s="772"/>
      <c r="E175" s="772"/>
      <c r="F175" s="772"/>
      <c r="G175" s="717"/>
      <c r="H175" s="159"/>
      <c r="I175" s="117">
        <f>SUM(K175+M175+O175)</f>
        <v>73950</v>
      </c>
      <c r="J175" s="118" t="str">
        <f>"(50)"</f>
        <v>(50)</v>
      </c>
      <c r="K175" s="85">
        <f>K171</f>
        <v>0</v>
      </c>
      <c r="L175" s="86" t="str">
        <f>"(50)"</f>
        <v>(50)</v>
      </c>
      <c r="M175" s="117">
        <f>M171</f>
        <v>47030</v>
      </c>
      <c r="N175" s="118" t="str">
        <f>"(50)"</f>
        <v>(50)</v>
      </c>
      <c r="O175" s="117">
        <f>O171</f>
        <v>26920</v>
      </c>
      <c r="P175" s="88" t="str">
        <f>"(50)"</f>
        <v>(50)</v>
      </c>
    </row>
    <row r="176" spans="2:16" ht="17.25" x14ac:dyDescent="0.25">
      <c r="B176" s="774" t="str">
        <f>'kuni 2025 detsember tegevuskava'!A54&amp;"/"&amp;'kuni 2025 detsember tegevuskava'!C54</f>
        <v>SOM/TEHIK</v>
      </c>
      <c r="C176" s="770"/>
      <c r="D176" s="770" t="str">
        <f>'kuni 2025 detsember tegevuskava'!J54</f>
        <v>Õigusaktide lisavahendid tervisevaldkonnas</v>
      </c>
      <c r="E176" s="770"/>
      <c r="F176" s="770" t="str">
        <f>'kuni 2025 detsember tegevuskava'!P54&amp;"/"</f>
        <v>Baaseelarve/</v>
      </c>
      <c r="G176" s="716" cm="1">
        <f t="array" ref="G176">_xlfn.IFS('kuni 2025 detsember tegevuskava'!G54='kuni 2025 detsember tegevuskava'!$G$77,1,'kuni 2025 detsember tegevuskava'!G54='kuni 2025 detsember tegevuskava'!$G$78,2,'kuni 2025 detsember tegevuskava'!G54='kuni 2025 detsember tegevuskava'!$G$79,3,'kuni 2025 detsember tegevuskava'!G54='kuni 2025 detsember tegevuskava'!$G$80,4)</f>
        <v>4</v>
      </c>
      <c r="H176" s="160" cm="1">
        <f t="array" ref="H176">_xlfn.IFS(OR('kuni 2025 detsember tegevuskava'!P54='kuni 2025 detsember tegevuskava'!$P$77,'kuni 2025 detsember tegevuskava'!P54='kuni 2025 detsember tegevuskava'!$P$79,'kuni 2025 detsember tegevuskava'!P54='kuni 2025 detsember tegevuskava'!$P$80,'kuni 2025 detsember tegevuskava'!P54='kuni 2025 detsember tegevuskava'!$P$81),1,'kuni 2025 detsember tegevuskava'!P54='kuni 2025 detsember tegevuskava'!$P$82,2,'kuni 2025 detsember tegevuskava'!P54='kuni 2025 detsember tegevuskava'!$P$83,2,'kuni 2025 detsember tegevuskava'!P54='kuni 2025 detsember tegevuskava'!$P$78,3)</f>
        <v>1</v>
      </c>
      <c r="I176" s="119">
        <f>SUM(I177:I177)</f>
        <v>100000</v>
      </c>
      <c r="J176" s="120"/>
      <c r="K176" s="73">
        <f>SUM(K177:K177)</f>
        <v>0</v>
      </c>
      <c r="L176" s="75"/>
      <c r="M176" s="119">
        <f>SUM(M177:M177)</f>
        <v>100000</v>
      </c>
      <c r="N176" s="120"/>
      <c r="O176" s="73">
        <f>SUM(O177:O177)</f>
        <v>0</v>
      </c>
      <c r="P176" s="77"/>
    </row>
    <row r="177" spans="2:16" ht="17.25" x14ac:dyDescent="0.25">
      <c r="B177" s="775"/>
      <c r="C177" s="771"/>
      <c r="D177" s="771"/>
      <c r="E177" s="771"/>
      <c r="F177" s="771"/>
      <c r="G177" s="715"/>
      <c r="H177" s="706"/>
      <c r="I177" s="92">
        <f>SUM(K177+M177+O177)</f>
        <v>100000</v>
      </c>
      <c r="J177" s="93" t="str">
        <f>"(15)"</f>
        <v>(15)</v>
      </c>
      <c r="K177" s="705">
        <f>'kuni 2025 detsember tegevuskava'!X54</f>
        <v>0</v>
      </c>
      <c r="L177" s="702" t="str">
        <f>"(15)"</f>
        <v>(15)</v>
      </c>
      <c r="M177" s="92">
        <f>'kuni 2025 detsember tegevuskava'!AA54</f>
        <v>100000</v>
      </c>
      <c r="N177" s="93" t="str">
        <f>"(15)"</f>
        <v>(15)</v>
      </c>
      <c r="O177" s="705">
        <f>'kuni 2025 detsember tegevuskava'!AD54</f>
        <v>0</v>
      </c>
      <c r="P177" s="79" t="str">
        <f>"(15)"</f>
        <v>(15)</v>
      </c>
    </row>
    <row r="178" spans="2:16" ht="17.25" x14ac:dyDescent="0.25">
      <c r="B178" s="775"/>
      <c r="C178" s="771"/>
      <c r="D178" s="771"/>
      <c r="E178" s="771"/>
      <c r="F178" s="771"/>
      <c r="G178" s="715"/>
      <c r="H178" s="706"/>
      <c r="I178" s="155" t="s">
        <v>562</v>
      </c>
      <c r="J178" s="161"/>
      <c r="K178" s="161"/>
      <c r="L178" s="161"/>
      <c r="M178" s="161"/>
      <c r="N178" s="161"/>
      <c r="O178" s="161"/>
      <c r="P178" s="162"/>
    </row>
    <row r="179" spans="2:16" ht="17.25" x14ac:dyDescent="0.25">
      <c r="B179" s="775"/>
      <c r="C179" s="771"/>
      <c r="D179" s="771"/>
      <c r="E179" s="771"/>
      <c r="F179" s="771"/>
      <c r="G179" s="715"/>
      <c r="H179" s="706"/>
      <c r="I179" s="153">
        <f>SUM(I180:I180)</f>
        <v>122000</v>
      </c>
      <c r="J179" s="93"/>
      <c r="K179" s="703">
        <f>SUM(K180:K180)</f>
        <v>0</v>
      </c>
      <c r="L179" s="704"/>
      <c r="M179" s="153">
        <f>SUM(M180:M180)</f>
        <v>122000</v>
      </c>
      <c r="N179" s="146"/>
      <c r="O179" s="153">
        <f>SUM(O180:O180)</f>
        <v>0</v>
      </c>
      <c r="P179" s="64"/>
    </row>
    <row r="180" spans="2:16" ht="18" thickBot="1" x14ac:dyDescent="0.3">
      <c r="B180" s="777"/>
      <c r="C180" s="772"/>
      <c r="D180" s="772"/>
      <c r="E180" s="772"/>
      <c r="F180" s="772"/>
      <c r="G180" s="717"/>
      <c r="H180" s="159"/>
      <c r="I180" s="117">
        <f>SUM(K180+M180+O180)</f>
        <v>122000</v>
      </c>
      <c r="J180" s="118" t="str">
        <f>"(15)"</f>
        <v>(15)</v>
      </c>
      <c r="K180" s="85">
        <f>SUM(K177*1.2)</f>
        <v>0</v>
      </c>
      <c r="L180" s="86" t="str">
        <f>"(15)"</f>
        <v>(15)</v>
      </c>
      <c r="M180" s="117">
        <f>SUM(M177*1.22)</f>
        <v>122000</v>
      </c>
      <c r="N180" s="118" t="str">
        <f>"(15)"</f>
        <v>(15)</v>
      </c>
      <c r="O180" s="117">
        <f>SUM(O177*1.22)</f>
        <v>0</v>
      </c>
      <c r="P180" s="88" t="str">
        <f>"(15)"</f>
        <v>(15)</v>
      </c>
    </row>
    <row r="181" spans="2:16" ht="17.25" x14ac:dyDescent="0.25">
      <c r="B181" s="774" t="str">
        <f>'kuni 2025 detsember tegevuskava'!A55&amp;"/"&amp;'kuni 2025 detsember tegevuskava'!C55</f>
        <v>SOM/TEHIK</v>
      </c>
      <c r="C181" s="770"/>
      <c r="D181" s="770" t="str">
        <f>'kuni 2025 detsember tegevuskava'!J55</f>
        <v>Tervisevaldkonna lisarahastus (TerK) - TIS/Uptis teenuste arendused</v>
      </c>
      <c r="E181" s="770"/>
      <c r="F181" s="770" t="str">
        <f>'kuni 2025 detsember tegevuskava'!P55&amp;"/"</f>
        <v>Muu rahastus/</v>
      </c>
      <c r="G181" s="716" cm="1">
        <f t="array" ref="G181">_xlfn.IFS('kuni 2025 detsember tegevuskava'!G55='kuni 2025 detsember tegevuskava'!$G$77,1,'kuni 2025 detsember tegevuskava'!G55='kuni 2025 detsember tegevuskava'!$G$78,2,'kuni 2025 detsember tegevuskava'!G55='kuni 2025 detsember tegevuskava'!$G$79,3,'kuni 2025 detsember tegevuskava'!G55='kuni 2025 detsember tegevuskava'!$G$80,4)</f>
        <v>4</v>
      </c>
      <c r="H181" s="160" cm="1">
        <f t="array" ref="H181">_xlfn.IFS(OR('kuni 2025 detsember tegevuskava'!P55='kuni 2025 detsember tegevuskava'!$P$77,'kuni 2025 detsember tegevuskava'!P55='kuni 2025 detsember tegevuskava'!$P$79,'kuni 2025 detsember tegevuskava'!P55='kuni 2025 detsember tegevuskava'!$P$80,'kuni 2025 detsember tegevuskava'!P55='kuni 2025 detsember tegevuskava'!$P$81),1,'kuni 2025 detsember tegevuskava'!P55='kuni 2025 detsember tegevuskava'!$P$82,2,'kuni 2025 detsember tegevuskava'!P55='kuni 2025 detsember tegevuskava'!$P$83,2,'kuni 2025 detsember tegevuskava'!P55='kuni 2025 detsember tegevuskava'!$P$78,3)</f>
        <v>3</v>
      </c>
      <c r="I181" s="119">
        <f>SUM(I182:I183)</f>
        <v>3739373</v>
      </c>
      <c r="J181" s="120"/>
      <c r="K181" s="73">
        <f>SUM(K182:K183)</f>
        <v>0</v>
      </c>
      <c r="L181" s="75"/>
      <c r="M181" s="119">
        <f>SUM(M182:M183)</f>
        <v>3739373</v>
      </c>
      <c r="N181" s="120"/>
      <c r="O181" s="73">
        <f>SUM(O182:O183)</f>
        <v>0</v>
      </c>
      <c r="P181" s="77"/>
    </row>
    <row r="182" spans="2:16" ht="17.25" x14ac:dyDescent="0.25">
      <c r="B182" s="775"/>
      <c r="C182" s="771"/>
      <c r="D182" s="771"/>
      <c r="E182" s="771"/>
      <c r="F182" s="771"/>
      <c r="G182" s="715"/>
      <c r="H182" s="706"/>
      <c r="I182" s="92">
        <f>SUM(K182+M182+O182)</f>
        <v>2675506</v>
      </c>
      <c r="J182" s="93" t="str">
        <f>"(15)"</f>
        <v>(15)</v>
      </c>
      <c r="K182" s="705">
        <f>'kuni 2025 detsember tegevuskava'!X55</f>
        <v>0</v>
      </c>
      <c r="L182" s="702" t="str">
        <f>"(15)"</f>
        <v>(15)</v>
      </c>
      <c r="M182" s="92">
        <f>'kuni 2025 detsember tegevuskava'!AA55</f>
        <v>2675506</v>
      </c>
      <c r="N182" s="93" t="str">
        <f>"(15)"</f>
        <v>(15)</v>
      </c>
      <c r="O182" s="705">
        <f>'kuni 2025 detsember tegevuskava'!AD55</f>
        <v>0</v>
      </c>
      <c r="P182" s="79" t="str">
        <f>"(15)"</f>
        <v>(15)</v>
      </c>
    </row>
    <row r="183" spans="2:16" ht="17.25" x14ac:dyDescent="0.25">
      <c r="B183" s="775"/>
      <c r="C183" s="771"/>
      <c r="D183" s="771"/>
      <c r="E183" s="771"/>
      <c r="F183" s="771"/>
      <c r="G183" s="715"/>
      <c r="H183" s="706"/>
      <c r="I183" s="92">
        <f>SUM(K183+M183+O183)</f>
        <v>1063867</v>
      </c>
      <c r="J183" s="93" t="str">
        <f>"(50)"</f>
        <v>(50)</v>
      </c>
      <c r="K183" s="705">
        <f>'kuni 2025 detsember tegevuskava'!Y55</f>
        <v>0</v>
      </c>
      <c r="L183" s="702" t="str">
        <f>"(50)"</f>
        <v>(50)</v>
      </c>
      <c r="M183" s="92">
        <f>'kuni 2025 detsember tegevuskava'!AB55</f>
        <v>1063867</v>
      </c>
      <c r="N183" s="93" t="str">
        <f>"(50)"</f>
        <v>(50)</v>
      </c>
      <c r="O183" s="705">
        <f>'kuni 2025 detsember tegevuskava'!AE55</f>
        <v>0</v>
      </c>
      <c r="P183" s="79" t="str">
        <f>"(50)"</f>
        <v>(50)</v>
      </c>
    </row>
    <row r="184" spans="2:16" ht="17.25" x14ac:dyDescent="0.25">
      <c r="B184" s="775"/>
      <c r="C184" s="771"/>
      <c r="D184" s="771"/>
      <c r="E184" s="771"/>
      <c r="F184" s="771"/>
      <c r="G184" s="715"/>
      <c r="H184" s="706"/>
      <c r="I184" s="155" t="s">
        <v>562</v>
      </c>
      <c r="J184" s="161"/>
      <c r="K184" s="161"/>
      <c r="L184" s="161"/>
      <c r="M184" s="161"/>
      <c r="N184" s="161"/>
      <c r="O184" s="161"/>
      <c r="P184" s="162"/>
    </row>
    <row r="185" spans="2:16" ht="17.25" x14ac:dyDescent="0.25">
      <c r="B185" s="775"/>
      <c r="C185" s="771"/>
      <c r="D185" s="771"/>
      <c r="E185" s="771"/>
      <c r="F185" s="771"/>
      <c r="G185" s="715"/>
      <c r="H185" s="706"/>
      <c r="I185" s="153">
        <f>SUM(I186:I187)</f>
        <v>4327984.32</v>
      </c>
      <c r="J185" s="93"/>
      <c r="K185" s="703">
        <f>SUM(K186:K187)</f>
        <v>0</v>
      </c>
      <c r="L185" s="704"/>
      <c r="M185" s="153">
        <f>SUM(M186:M187)</f>
        <v>4327984.32</v>
      </c>
      <c r="N185" s="146"/>
      <c r="O185" s="153">
        <f>SUM(O186:O187)</f>
        <v>0</v>
      </c>
      <c r="P185" s="64"/>
    </row>
    <row r="186" spans="2:16" ht="17.25" x14ac:dyDescent="0.25">
      <c r="B186" s="775"/>
      <c r="C186" s="771"/>
      <c r="D186" s="771"/>
      <c r="E186" s="771"/>
      <c r="F186" s="771"/>
      <c r="G186" s="715"/>
      <c r="H186" s="706"/>
      <c r="I186" s="92">
        <f>SUM(K186+M186+O186)</f>
        <v>3264117.32</v>
      </c>
      <c r="J186" s="93" t="str">
        <f>"(15)"</f>
        <v>(15)</v>
      </c>
      <c r="K186" s="705">
        <f>SUM(K182*1.2)</f>
        <v>0</v>
      </c>
      <c r="L186" s="702" t="str">
        <f>"(15)"</f>
        <v>(15)</v>
      </c>
      <c r="M186" s="92">
        <f>SUM(M182*1.22)</f>
        <v>3264117.32</v>
      </c>
      <c r="N186" s="93" t="str">
        <f>"(15)"</f>
        <v>(15)</v>
      </c>
      <c r="O186" s="92">
        <f>SUM(O182*1.22)</f>
        <v>0</v>
      </c>
      <c r="P186" s="79" t="str">
        <f>"(15)"</f>
        <v>(15)</v>
      </c>
    </row>
    <row r="187" spans="2:16" ht="18" thickBot="1" x14ac:dyDescent="0.3">
      <c r="B187" s="777"/>
      <c r="C187" s="772"/>
      <c r="D187" s="772"/>
      <c r="E187" s="772"/>
      <c r="F187" s="772"/>
      <c r="G187" s="717"/>
      <c r="H187" s="159"/>
      <c r="I187" s="117">
        <f>SUM(K187+M187+O187)</f>
        <v>1063867</v>
      </c>
      <c r="J187" s="118" t="str">
        <f>"(50)"</f>
        <v>(50)</v>
      </c>
      <c r="K187" s="85">
        <f>K183</f>
        <v>0</v>
      </c>
      <c r="L187" s="86" t="str">
        <f>"(50)"</f>
        <v>(50)</v>
      </c>
      <c r="M187" s="117">
        <f>M183</f>
        <v>1063867</v>
      </c>
      <c r="N187" s="118" t="str">
        <f>"(50)"</f>
        <v>(50)</v>
      </c>
      <c r="O187" s="117">
        <f>O183</f>
        <v>0</v>
      </c>
      <c r="P187" s="88" t="str">
        <f>"(50)"</f>
        <v>(50)</v>
      </c>
    </row>
    <row r="188" spans="2:16" ht="17.25" x14ac:dyDescent="0.25">
      <c r="B188" s="774" t="str">
        <f>'kuni 2025 detsember tegevuskava'!A56&amp;"/"&amp;'kuni 2025 detsember tegevuskava'!C56</f>
        <v>SOM/TEHIK</v>
      </c>
      <c r="C188" s="770" t="str">
        <f>'kuni 2025 detsember tegevuskava'!I56</f>
        <v xml:space="preserve">Tänane vereteenistuse infosüsteem (EVI) on vananenud (1995), puudub andmevahetus 4 verekeskuse vahel ja teiste riiklike infosüsteemidega. Infosüsteem ei toimi verevalvsuse operatiivse rakendusena, sest veretoote elektrooniline jälgitavus katkeb raviasutustes. </v>
      </c>
      <c r="D188" s="770" t="str">
        <f>'kuni 2025 detsember tegevuskava'!J56</f>
        <v>Üleriigiline vere infosüsteem</v>
      </c>
      <c r="E188" s="770" t="str">
        <f>'kuni 2025 detsember tegevuskava'!K56</f>
        <v>99% paberivaba veretoodete tootmise, uuringute, tellimise ja transfusiooni käitlus, mis viib liigse paberikulu ja arhiveerimisvajaduse nulli lähedale
Kaob ära vajadus infot käsitsi süsteemi lisada, ehk saavutatakse sääst aastas 2073 töötundi ehk ligi 60 500€
Tagatud doonorite ja patsientide uuringute ja andmete kättesaadavus kõikides verekabinettides/-keskustes.
Toimiv aruandluse ja statistika moodul, mille kaudu on tagatud vein-to-vein jälgitavus.
Arendusprojekt panustab avalike teenuste osutamist toetavate kesksete lahenduste riigiülene juurutamisse - süsteemi kaudu hakkab info patsiendi uuringute kohta tervise infosüsteemi ja rakendatakse andmejälgija
TÜK LIS (labori infosüsteem) on liidestatud
Peale projekti edukat juurutamist liituvad süsteemiga peale PERH-i ja TÜK-i ka Ida-Viru Keskhaigla ja Pärnu Haigla verekeskused.</v>
      </c>
      <c r="F188" s="770" t="str">
        <f>'kuni 2025 detsember tegevuskava'!P56&amp;"/"</f>
        <v>SF 21-27 (taotletav raha)/</v>
      </c>
      <c r="G188" s="716" cm="1">
        <f t="array" ref="G188">_xlfn.IFS('kuni 2025 detsember tegevuskava'!G56='kuni 2025 detsember tegevuskava'!$G$77,1,'kuni 2025 detsember tegevuskava'!G56='kuni 2025 detsember tegevuskava'!$G$78,2,'kuni 2025 detsember tegevuskava'!G56='kuni 2025 detsember tegevuskava'!$G$79,3,'kuni 2025 detsember tegevuskava'!G56='kuni 2025 detsember tegevuskava'!$G$80,4)</f>
        <v>1</v>
      </c>
      <c r="H188" s="160" cm="1">
        <f t="array" ref="H188">_xlfn.IFS(OR('kuni 2025 detsember tegevuskava'!P56='kuni 2025 detsember tegevuskava'!$P$77,'kuni 2025 detsember tegevuskava'!P56='kuni 2025 detsember tegevuskava'!$P$79,'kuni 2025 detsember tegevuskava'!P56='kuni 2025 detsember tegevuskava'!$P$80,'kuni 2025 detsember tegevuskava'!P56='kuni 2025 detsember tegevuskava'!$P$81),1,'kuni 2025 detsember tegevuskava'!P56='kuni 2025 detsember tegevuskava'!$P$82,2,'kuni 2025 detsember tegevuskava'!P56='kuni 2025 detsember tegevuskava'!$P$83,2,'kuni 2025 detsember tegevuskava'!P56='kuni 2025 detsember tegevuskava'!$P$78,3)</f>
        <v>2</v>
      </c>
      <c r="I188" s="119">
        <f>SUM(I189:I190)</f>
        <v>900000</v>
      </c>
      <c r="J188" s="120"/>
      <c r="K188" s="73">
        <f>SUM(K189:K190)</f>
        <v>0</v>
      </c>
      <c r="L188" s="75"/>
      <c r="M188" s="119">
        <f>SUM(M189:M190)</f>
        <v>600000</v>
      </c>
      <c r="N188" s="120"/>
      <c r="O188" s="73">
        <f>SUM(O189:O190)</f>
        <v>300000</v>
      </c>
      <c r="P188" s="77"/>
    </row>
    <row r="189" spans="2:16" ht="17.25" x14ac:dyDescent="0.25">
      <c r="B189" s="775"/>
      <c r="C189" s="771"/>
      <c r="D189" s="771"/>
      <c r="E189" s="771"/>
      <c r="F189" s="771"/>
      <c r="G189" s="715"/>
      <c r="H189" s="706"/>
      <c r="I189" s="92">
        <f>SUM(K189+M189+O189)</f>
        <v>300000</v>
      </c>
      <c r="J189" s="93" t="str">
        <f>"(15)"</f>
        <v>(15)</v>
      </c>
      <c r="K189" s="705">
        <f>'kuni 2025 detsember tegevuskava'!X56</f>
        <v>0</v>
      </c>
      <c r="L189" s="702" t="str">
        <f>"(15)"</f>
        <v>(15)</v>
      </c>
      <c r="M189" s="705">
        <f>'kuni 2025 detsember tegevuskava'!Z56</f>
        <v>0</v>
      </c>
      <c r="N189" s="93" t="str">
        <f>"(15)"</f>
        <v>(15)</v>
      </c>
      <c r="O189" s="705">
        <f>'kuni 2025 detsember tegevuskava'!AD56</f>
        <v>300000</v>
      </c>
      <c r="P189" s="79" t="str">
        <f>"(15)"</f>
        <v>(15)</v>
      </c>
    </row>
    <row r="190" spans="2:16" ht="17.25" x14ac:dyDescent="0.25">
      <c r="B190" s="775"/>
      <c r="C190" s="771"/>
      <c r="D190" s="771"/>
      <c r="E190" s="771"/>
      <c r="F190" s="771"/>
      <c r="G190" s="715"/>
      <c r="H190" s="706"/>
      <c r="I190" s="92">
        <f>SUM(K190+M190+O190)</f>
        <v>600000</v>
      </c>
      <c r="J190" s="93" t="str">
        <f>"(50)"</f>
        <v>(50)</v>
      </c>
      <c r="K190" s="705">
        <f>'kuni 2025 detsember tegevuskava'!Y56</f>
        <v>0</v>
      </c>
      <c r="L190" s="702" t="str">
        <f>"(50)"</f>
        <v>(50)</v>
      </c>
      <c r="M190" s="705">
        <f>'kuni 2025 detsember tegevuskava'!AA56</f>
        <v>600000</v>
      </c>
      <c r="N190" s="93" t="str">
        <f>"(50)"</f>
        <v>(50)</v>
      </c>
      <c r="O190" s="705">
        <f>'kuni 2025 detsember tegevuskava'!AE56</f>
        <v>0</v>
      </c>
      <c r="P190" s="79" t="str">
        <f>"(50)"</f>
        <v>(50)</v>
      </c>
    </row>
    <row r="191" spans="2:16" ht="17.25" x14ac:dyDescent="0.25">
      <c r="B191" s="775"/>
      <c r="C191" s="771"/>
      <c r="D191" s="771"/>
      <c r="E191" s="771"/>
      <c r="F191" s="771"/>
      <c r="G191" s="715"/>
      <c r="H191" s="706"/>
      <c r="I191" s="155" t="s">
        <v>562</v>
      </c>
      <c r="J191" s="161"/>
      <c r="K191" s="161"/>
      <c r="L191" s="161"/>
      <c r="M191" s="161"/>
      <c r="N191" s="161"/>
      <c r="O191" s="161"/>
      <c r="P191" s="162"/>
    </row>
    <row r="192" spans="2:16" ht="17.25" x14ac:dyDescent="0.25">
      <c r="B192" s="775"/>
      <c r="C192" s="771"/>
      <c r="D192" s="771"/>
      <c r="E192" s="771"/>
      <c r="F192" s="771"/>
      <c r="G192" s="715"/>
      <c r="H192" s="706"/>
      <c r="I192" s="153">
        <f>SUM(I193:I194)</f>
        <v>966000</v>
      </c>
      <c r="J192" s="93"/>
      <c r="K192" s="703">
        <f>SUM(K193:K194)</f>
        <v>0</v>
      </c>
      <c r="L192" s="704"/>
      <c r="M192" s="153">
        <f>SUM(M193:M194)</f>
        <v>600000</v>
      </c>
      <c r="N192" s="146"/>
      <c r="O192" s="153">
        <f>SUM(O193:O194)</f>
        <v>366000</v>
      </c>
      <c r="P192" s="64"/>
    </row>
    <row r="193" spans="2:16" ht="17.25" x14ac:dyDescent="0.25">
      <c r="B193" s="775"/>
      <c r="C193" s="771"/>
      <c r="D193" s="771"/>
      <c r="E193" s="771"/>
      <c r="F193" s="771"/>
      <c r="G193" s="715"/>
      <c r="H193" s="706"/>
      <c r="I193" s="92">
        <f>SUM(K193+M193+O193)</f>
        <v>366000</v>
      </c>
      <c r="J193" s="93" t="str">
        <f>"(15)"</f>
        <v>(15)</v>
      </c>
      <c r="K193" s="705">
        <f>'kuni 2025 detsember tegevuskava'!X61</f>
        <v>0</v>
      </c>
      <c r="L193" s="702" t="str">
        <f>"(15)"</f>
        <v>(15)</v>
      </c>
      <c r="M193" s="92">
        <f>SUM(M189*1.22)</f>
        <v>0</v>
      </c>
      <c r="N193" s="93" t="str">
        <f>"(15)"</f>
        <v>(15)</v>
      </c>
      <c r="O193" s="92">
        <f>SUM(O189*1.22)</f>
        <v>366000</v>
      </c>
      <c r="P193" s="79" t="str">
        <f>"(15)"</f>
        <v>(15)</v>
      </c>
    </row>
    <row r="194" spans="2:16" ht="280.5" customHeight="1" thickBot="1" x14ac:dyDescent="0.3">
      <c r="B194" s="777"/>
      <c r="C194" s="772"/>
      <c r="D194" s="772"/>
      <c r="E194" s="772"/>
      <c r="F194" s="772"/>
      <c r="G194" s="717"/>
      <c r="H194" s="159"/>
      <c r="I194" s="117">
        <f>SUM(K194+M194+O194)</f>
        <v>600000</v>
      </c>
      <c r="J194" s="118" t="str">
        <f>"(50)"</f>
        <v>(50)</v>
      </c>
      <c r="K194" s="85">
        <f>'kuni 2025 detsember tegevuskava'!Y61</f>
        <v>0</v>
      </c>
      <c r="L194" s="86" t="str">
        <f>"(50)"</f>
        <v>(50)</v>
      </c>
      <c r="M194" s="117">
        <f>M190</f>
        <v>600000</v>
      </c>
      <c r="N194" s="118" t="str">
        <f>"(50)"</f>
        <v>(50)</v>
      </c>
      <c r="O194" s="117">
        <f>O190</f>
        <v>0</v>
      </c>
      <c r="P194" s="88" t="str">
        <f>"(50)"</f>
        <v>(50)</v>
      </c>
    </row>
    <row r="195" spans="2:16" ht="17.25" x14ac:dyDescent="0.25">
      <c r="B195" s="774" t="str">
        <f>'kuni 2025 detsember tegevuskava'!A57&amp;"/"&amp;'kuni 2025 detsember tegevuskava'!C57</f>
        <v>SOM/SOM</v>
      </c>
      <c r="C195" s="770" t="str">
        <f>'kuni 2025 detsember tegevuskava'!I57</f>
        <v>Tervisevaldkonna e-teenuste juhtimine on killustunud, mistõttu on oht teenuste omavaheliseks väheseks kooskõlaks ning ressursi ebaefektiivseks kasutamiseks ja dubleerimiseks.</v>
      </c>
      <c r="D195" s="770" t="str">
        <f>'kuni 2025 detsember tegevuskava'!J57</f>
        <v>Tervisevaldkonnas teenuspõhise juhtimise rakendamine, tervise - ja sotsiaalvaldkonna intergreerimine, e-tervise valdkonna juhtimine</v>
      </c>
      <c r="E195" s="770" t="str">
        <f>'kuni 2025 detsember tegevuskava'!K57</f>
        <v xml:space="preserve">2024 ja 2025 aastal on kinnitatud tervisevalkonna poliitikavaldkonnad ning rakendatud teenuspõhine juhtimine tervikuna. Alustatud on süsteemse kliendikogemuse mõõtmisega, loodud on teenuspõhised tulemusindikaatorid. Tehtud on analüüs ja ettepanekud sotsiaal- ja tervisevaldkonna andmete integratsiooniks. SoM VA on tervikuna toetatud teenuspõhisele juhtimisele üleminekul. </v>
      </c>
      <c r="F195" s="770" t="str">
        <f>'kuni 2025 detsember tegevuskava'!P57&amp;"/"</f>
        <v>SF 21-27 (taotletav raha)/</v>
      </c>
      <c r="G195" s="716" cm="1">
        <f t="array" ref="G195">_xlfn.IFS('kuni 2025 detsember tegevuskava'!G57='kuni 2025 detsember tegevuskava'!$G$77,1,'kuni 2025 detsember tegevuskava'!G57='kuni 2025 detsember tegevuskava'!$G$78,2,'kuni 2025 detsember tegevuskava'!G57='kuni 2025 detsember tegevuskava'!$G$79,3,'kuni 2025 detsember tegevuskava'!G57='kuni 2025 detsember tegevuskava'!$G$80,4)</f>
        <v>4</v>
      </c>
      <c r="H195" s="160" cm="1">
        <f t="array" ref="H195">_xlfn.IFS(OR('kuni 2025 detsember tegevuskava'!P57='kuni 2025 detsember tegevuskava'!$P$77,'kuni 2025 detsember tegevuskava'!P57='kuni 2025 detsember tegevuskava'!$P$79,'kuni 2025 detsember tegevuskava'!P57='kuni 2025 detsember tegevuskava'!$P$80,'kuni 2025 detsember tegevuskava'!P57='kuni 2025 detsember tegevuskava'!$P$81),1,'kuni 2025 detsember tegevuskava'!P57='kuni 2025 detsember tegevuskava'!$P$82,2,'kuni 2025 detsember tegevuskava'!P57='kuni 2025 detsember tegevuskava'!$P$83,2,'kuni 2025 detsember tegevuskava'!P57='kuni 2025 detsember tegevuskava'!$P$78,3)</f>
        <v>2</v>
      </c>
      <c r="I195" s="119">
        <f>SUM(I196:I197)</f>
        <v>327936</v>
      </c>
      <c r="J195" s="120"/>
      <c r="K195" s="73">
        <f>SUM(K196:K197)</f>
        <v>0</v>
      </c>
      <c r="L195" s="75"/>
      <c r="M195" s="119">
        <f>SUM(M196:M197)</f>
        <v>123936</v>
      </c>
      <c r="N195" s="120"/>
      <c r="O195" s="73">
        <f>SUM(O196:O197)</f>
        <v>204000</v>
      </c>
      <c r="P195" s="77"/>
    </row>
    <row r="196" spans="2:16" ht="17.25" x14ac:dyDescent="0.25">
      <c r="B196" s="775"/>
      <c r="C196" s="771"/>
      <c r="D196" s="771"/>
      <c r="E196" s="771"/>
      <c r="F196" s="771"/>
      <c r="G196" s="715"/>
      <c r="H196" s="706"/>
      <c r="I196" s="92">
        <f>SUM(K196+M196+O196)</f>
        <v>177936</v>
      </c>
      <c r="J196" s="93" t="str">
        <f>"(50)"</f>
        <v>(50)</v>
      </c>
      <c r="K196" s="705">
        <f>'kuni 2025 detsember tegevuskava'!Y57</f>
        <v>0</v>
      </c>
      <c r="L196" s="702" t="str">
        <f>"(50)"</f>
        <v>(50)</v>
      </c>
      <c r="M196" s="92">
        <f>'kuni 2025 detsember tegevuskava'!AB57</f>
        <v>63936</v>
      </c>
      <c r="N196" s="93" t="str">
        <f>"(50)"</f>
        <v>(50)</v>
      </c>
      <c r="O196" s="705">
        <f>'kuni 2025 detsember tegevuskava'!AE57</f>
        <v>114000</v>
      </c>
      <c r="P196" s="79" t="str">
        <f>"(50)"</f>
        <v>(50)</v>
      </c>
    </row>
    <row r="197" spans="2:16" ht="17.25" x14ac:dyDescent="0.25">
      <c r="B197" s="775"/>
      <c r="C197" s="771"/>
      <c r="D197" s="771"/>
      <c r="E197" s="771"/>
      <c r="F197" s="771"/>
      <c r="G197" s="715"/>
      <c r="H197" s="706"/>
      <c r="I197" s="94">
        <f>SUM(K197+M197+O197)</f>
        <v>150000</v>
      </c>
      <c r="J197" s="95" t="str">
        <f>"(55)"</f>
        <v>(55)</v>
      </c>
      <c r="K197" s="89">
        <f>'kuni 2025 detsember tegevuskava'!Z57</f>
        <v>0</v>
      </c>
      <c r="L197" s="80" t="str">
        <f>"(55)"</f>
        <v>(55)</v>
      </c>
      <c r="M197" s="94">
        <f>'kuni 2025 detsember tegevuskava'!AC57</f>
        <v>60000</v>
      </c>
      <c r="N197" s="95" t="str">
        <f>"(55)"</f>
        <v>(55)</v>
      </c>
      <c r="O197" s="89">
        <f>'kuni 2025 detsember tegevuskava'!AF57</f>
        <v>90000</v>
      </c>
      <c r="P197" s="82" t="str">
        <f>"(55)"</f>
        <v>(55)</v>
      </c>
    </row>
    <row r="198" spans="2:16" ht="17.25" x14ac:dyDescent="0.25">
      <c r="B198" s="775"/>
      <c r="C198" s="771"/>
      <c r="D198" s="771"/>
      <c r="E198" s="771"/>
      <c r="F198" s="771"/>
      <c r="G198" s="715"/>
      <c r="H198" s="706"/>
      <c r="I198" s="134" t="s">
        <v>562</v>
      </c>
      <c r="J198" s="8"/>
      <c r="K198" s="8"/>
      <c r="L198" s="8"/>
      <c r="M198" s="8"/>
      <c r="N198" s="8"/>
      <c r="O198" s="8"/>
      <c r="P198" s="142"/>
    </row>
    <row r="199" spans="2:16" ht="17.25" x14ac:dyDescent="0.25">
      <c r="B199" s="775"/>
      <c r="C199" s="771"/>
      <c r="D199" s="771"/>
      <c r="E199" s="771"/>
      <c r="F199" s="771"/>
      <c r="G199" s="715"/>
      <c r="H199" s="706"/>
      <c r="I199" s="90">
        <f>SUM(I200:I201)</f>
        <v>360936</v>
      </c>
      <c r="J199" s="91"/>
      <c r="K199" s="83">
        <f>SUM(K200:K201)</f>
        <v>0</v>
      </c>
      <c r="L199" s="84"/>
      <c r="M199" s="90">
        <f>SUM(M200:M201)</f>
        <v>137136</v>
      </c>
      <c r="N199" s="96"/>
      <c r="O199" s="90">
        <f>SUM(O200:O201)</f>
        <v>223800</v>
      </c>
      <c r="P199" s="121"/>
    </row>
    <row r="200" spans="2:16" ht="17.25" x14ac:dyDescent="0.25">
      <c r="B200" s="775"/>
      <c r="C200" s="771"/>
      <c r="D200" s="771"/>
      <c r="E200" s="771"/>
      <c r="F200" s="771"/>
      <c r="G200" s="715"/>
      <c r="H200" s="706"/>
      <c r="I200" s="92">
        <f>SUM(K200+M200+O200)</f>
        <v>177936</v>
      </c>
      <c r="J200" s="93" t="str">
        <f>"(50)"</f>
        <v>(50)</v>
      </c>
      <c r="K200" s="705">
        <f>K196</f>
        <v>0</v>
      </c>
      <c r="L200" s="702" t="str">
        <f>"(50)"</f>
        <v>(50)</v>
      </c>
      <c r="M200" s="92">
        <f>M196</f>
        <v>63936</v>
      </c>
      <c r="N200" s="93" t="str">
        <f>"(50)"</f>
        <v>(50)</v>
      </c>
      <c r="O200" s="92">
        <f>O196</f>
        <v>114000</v>
      </c>
      <c r="P200" s="79" t="str">
        <f>"(50)"</f>
        <v>(50)</v>
      </c>
    </row>
    <row r="201" spans="2:16" ht="82.5" customHeight="1" thickBot="1" x14ac:dyDescent="0.3">
      <c r="B201" s="777"/>
      <c r="C201" s="772"/>
      <c r="D201" s="772"/>
      <c r="E201" s="772"/>
      <c r="F201" s="772"/>
      <c r="G201" s="717"/>
      <c r="H201" s="159"/>
      <c r="I201" s="117">
        <f>SUM(K201+M201+O201)</f>
        <v>183000</v>
      </c>
      <c r="J201" s="118" t="str">
        <f>"(55)"</f>
        <v>(55)</v>
      </c>
      <c r="K201" s="85">
        <f>SUM(K197*1.2)</f>
        <v>0</v>
      </c>
      <c r="L201" s="86" t="str">
        <f>"(55)"</f>
        <v>(55)</v>
      </c>
      <c r="M201" s="117">
        <f>SUM(M197*1.22)</f>
        <v>73200</v>
      </c>
      <c r="N201" s="118" t="str">
        <f>"(55)"</f>
        <v>(55)</v>
      </c>
      <c r="O201" s="117">
        <f>SUM(O197*1.22)</f>
        <v>109800</v>
      </c>
      <c r="P201" s="88" t="str">
        <f>"(55)"</f>
        <v>(55)</v>
      </c>
    </row>
    <row r="202" spans="2:16" ht="17.25" x14ac:dyDescent="0.25">
      <c r="B202" s="774" t="str">
        <f>'kuni 2025 detsember tegevuskava'!A58&amp;"/"&amp;'kuni 2025 detsember tegevuskava'!C58</f>
        <v>SOM/TEHIK</v>
      </c>
      <c r="C202" s="770" t="str">
        <f>'kuni 2025 detsember tegevuskava'!I58</f>
        <v xml:space="preserve">protsesside optimeerimine, uute lähenemiste rakendamine arendus, haldus ja hooldusprotsessides. </v>
      </c>
      <c r="D202" s="770" t="str">
        <f>'kuni 2025 detsember tegevuskava'!J58</f>
        <v>agile coach</v>
      </c>
      <c r="E202" s="770" t="str">
        <f>'kuni 2025 detsember tegevuskava'!K58</f>
        <v>On värvatud agile coach kes toetab TEHIKu sisemiste protsesside optimeerimisel ja uute lähenemise juurutamisel arendusetappides.</v>
      </c>
      <c r="F202" s="770" t="str">
        <f>'kuni 2025 detsember tegevuskava'!P58&amp;"/"</f>
        <v>SF 21-27 (taotletav raha)/</v>
      </c>
      <c r="G202" s="716" cm="1">
        <f t="array" ref="G202">_xlfn.IFS('kuni 2025 detsember tegevuskava'!G58='kuni 2025 detsember tegevuskava'!$G$77,1,'kuni 2025 detsember tegevuskava'!G58='kuni 2025 detsember tegevuskava'!$G$78,2,'kuni 2025 detsember tegevuskava'!G58='kuni 2025 detsember tegevuskava'!$G$79,3,'kuni 2025 detsember tegevuskava'!G58='kuni 2025 detsember tegevuskava'!$G$80,4)</f>
        <v>3</v>
      </c>
      <c r="H202" s="160" cm="1">
        <f t="array" ref="H202">_xlfn.IFS(OR('kuni 2025 detsember tegevuskava'!P58='kuni 2025 detsember tegevuskava'!$P$77,'kuni 2025 detsember tegevuskava'!P58='kuni 2025 detsember tegevuskava'!$P$79,'kuni 2025 detsember tegevuskava'!P58='kuni 2025 detsember tegevuskava'!$P$80,'kuni 2025 detsember tegevuskava'!P58='kuni 2025 detsember tegevuskava'!$P$81),1,'kuni 2025 detsember tegevuskava'!P58='kuni 2025 detsember tegevuskava'!$P$82,2,'kuni 2025 detsember tegevuskava'!P58='kuni 2025 detsember tegevuskava'!$P$83,2,'kuni 2025 detsember tegevuskava'!P58='kuni 2025 detsember tegevuskava'!$P$78,3)</f>
        <v>2</v>
      </c>
      <c r="I202" s="119">
        <f>SUM(I203:I203)</f>
        <v>89603</v>
      </c>
      <c r="J202" s="120"/>
      <c r="K202" s="73">
        <f>SUM(K203:K203)</f>
        <v>9323</v>
      </c>
      <c r="L202" s="75"/>
      <c r="M202" s="119">
        <f>SUM(M203:M203)</f>
        <v>40140</v>
      </c>
      <c r="N202" s="120"/>
      <c r="O202" s="73">
        <f>SUM(O203:O203)</f>
        <v>40140</v>
      </c>
      <c r="P202" s="77"/>
    </row>
    <row r="203" spans="2:16" ht="17.25" x14ac:dyDescent="0.25">
      <c r="B203" s="775"/>
      <c r="C203" s="771"/>
      <c r="D203" s="771"/>
      <c r="E203" s="771"/>
      <c r="F203" s="771"/>
      <c r="G203" s="715"/>
      <c r="H203" s="706"/>
      <c r="I203" s="92">
        <f>SUM(K203+M203+O203)</f>
        <v>89603</v>
      </c>
      <c r="J203" s="93" t="str">
        <f>"(50)"</f>
        <v>(50)</v>
      </c>
      <c r="K203" s="705">
        <f>'kuni 2025 detsember tegevuskava'!Y58</f>
        <v>9323</v>
      </c>
      <c r="L203" s="702" t="str">
        <f>"(50)"</f>
        <v>(50)</v>
      </c>
      <c r="M203" s="92">
        <f>'kuni 2025 detsember tegevuskava'!AB58</f>
        <v>40140</v>
      </c>
      <c r="N203" s="93" t="str">
        <f>"(50)"</f>
        <v>(50)</v>
      </c>
      <c r="O203" s="705">
        <f>'kuni 2025 detsember tegevuskava'!AE58</f>
        <v>40140</v>
      </c>
      <c r="P203" s="79" t="str">
        <f>"(50)"</f>
        <v>(50)</v>
      </c>
    </row>
    <row r="204" spans="2:16" ht="17.25" x14ac:dyDescent="0.25">
      <c r="B204" s="775"/>
      <c r="C204" s="771"/>
      <c r="D204" s="771"/>
      <c r="E204" s="771"/>
      <c r="F204" s="771"/>
      <c r="G204" s="715"/>
      <c r="H204" s="706"/>
      <c r="I204" s="155" t="s">
        <v>562</v>
      </c>
      <c r="J204" s="161"/>
      <c r="K204" s="161"/>
      <c r="L204" s="161"/>
      <c r="M204" s="161"/>
      <c r="N204" s="161"/>
      <c r="O204" s="161"/>
      <c r="P204" s="162"/>
    </row>
    <row r="205" spans="2:16" ht="17.25" x14ac:dyDescent="0.25">
      <c r="B205" s="775"/>
      <c r="C205" s="771"/>
      <c r="D205" s="771"/>
      <c r="E205" s="771"/>
      <c r="F205" s="771"/>
      <c r="G205" s="715"/>
      <c r="H205" s="706"/>
      <c r="I205" s="153">
        <f>SUM(I206:I206)</f>
        <v>89603</v>
      </c>
      <c r="J205" s="93"/>
      <c r="K205" s="703">
        <f>SUM(K206:K206)</f>
        <v>9323</v>
      </c>
      <c r="L205" s="704"/>
      <c r="M205" s="153">
        <f>SUM(M206:M206)</f>
        <v>40140</v>
      </c>
      <c r="N205" s="146"/>
      <c r="O205" s="153">
        <f>SUM(O206:O206)</f>
        <v>40140</v>
      </c>
      <c r="P205" s="64"/>
    </row>
    <row r="206" spans="2:16" ht="18" thickBot="1" x14ac:dyDescent="0.3">
      <c r="B206" s="777"/>
      <c r="C206" s="772"/>
      <c r="D206" s="772"/>
      <c r="E206" s="772"/>
      <c r="F206" s="772"/>
      <c r="G206" s="717"/>
      <c r="H206" s="159"/>
      <c r="I206" s="117">
        <f>SUM(K206+M206+O206)</f>
        <v>89603</v>
      </c>
      <c r="J206" s="118" t="str">
        <f>"(50)"</f>
        <v>(50)</v>
      </c>
      <c r="K206" s="85">
        <f>K203</f>
        <v>9323</v>
      </c>
      <c r="L206" s="86" t="str">
        <f>"(50)"</f>
        <v>(50)</v>
      </c>
      <c r="M206" s="117">
        <f>M203</f>
        <v>40140</v>
      </c>
      <c r="N206" s="118" t="str">
        <f>"(50)"</f>
        <v>(50)</v>
      </c>
      <c r="O206" s="117">
        <f>O203</f>
        <v>40140</v>
      </c>
      <c r="P206" s="88" t="str">
        <f>"(50)"</f>
        <v>(50)</v>
      </c>
    </row>
    <row r="207" spans="2:16" ht="17.25" x14ac:dyDescent="0.25">
      <c r="B207" s="774" t="str">
        <f>'kuni 2025 detsember tegevuskava'!A59&amp;"/"&amp;'kuni 2025 detsember tegevuskava'!C59</f>
        <v>SOM/TEHIK/SOM</v>
      </c>
      <c r="C207" s="770" t="str">
        <f>'kuni 2025 detsember tegevuskava'!I59</f>
        <v>kompetentside kasvatamine läbi koolituste, et toetada teenuspõhist juhtimist, protsesse ja digipöörde elluviimist.</v>
      </c>
      <c r="D207" s="770" t="str">
        <f>'kuni 2025 detsember tegevuskava'!J59</f>
        <v>koolituskulud:Teenuste juhid, ärianalüütikud, poliitikakujundajad ja TEHIK töötajad</v>
      </c>
      <c r="E207" s="770" t="str">
        <f>'kuni 2025 detsember tegevuskava'!K59</f>
        <v>Koostatud on lähiaastate koolitusplaan, alustatud on esmaste digipädevusi tõstvate ning teenuspõhist juhtimist toetavates koolitusega. Jagatud on info riigiüleste kesksete koolitusvõimaluste kohta (nt MKM koolitused)</v>
      </c>
      <c r="F207" s="770" t="str">
        <f>'kuni 2025 detsember tegevuskava'!P59&amp;"/"</f>
        <v>SF 21-27 (taotletav raha)/</v>
      </c>
      <c r="G207" s="716" cm="1">
        <f t="array" ref="G207">_xlfn.IFS('kuni 2025 detsember tegevuskava'!G59='kuni 2025 detsember tegevuskava'!$G$77,1,'kuni 2025 detsember tegevuskava'!G59='kuni 2025 detsember tegevuskava'!$G$78,2,'kuni 2025 detsember tegevuskava'!G59='kuni 2025 detsember tegevuskava'!$G$79,3,'kuni 2025 detsember tegevuskava'!G59='kuni 2025 detsember tegevuskava'!$G$80,4)</f>
        <v>3</v>
      </c>
      <c r="H207" s="160" cm="1">
        <f t="array" ref="H207">_xlfn.IFS(OR('kuni 2025 detsember tegevuskava'!P59='kuni 2025 detsember tegevuskava'!$P$77,'kuni 2025 detsember tegevuskava'!P59='kuni 2025 detsember tegevuskava'!$P$79,'kuni 2025 detsember tegevuskava'!P59='kuni 2025 detsember tegevuskava'!$P$80,'kuni 2025 detsember tegevuskava'!P59='kuni 2025 detsember tegevuskava'!$P$81),1,'kuni 2025 detsember tegevuskava'!P59='kuni 2025 detsember tegevuskava'!$P$82,2,'kuni 2025 detsember tegevuskava'!P59='kuni 2025 detsember tegevuskava'!$P$83,2,'kuni 2025 detsember tegevuskava'!P59='kuni 2025 detsember tegevuskava'!$P$78,3)</f>
        <v>2</v>
      </c>
      <c r="I207" s="119">
        <f>SUM(I208:I208)</f>
        <v>90000</v>
      </c>
      <c r="J207" s="120"/>
      <c r="K207" s="73">
        <f>SUM(K208:K208)</f>
        <v>0</v>
      </c>
      <c r="L207" s="75"/>
      <c r="M207" s="119">
        <f>SUM(M208:M208)</f>
        <v>90000</v>
      </c>
      <c r="N207" s="120"/>
      <c r="O207" s="73">
        <f>SUM(O208:O208)</f>
        <v>0</v>
      </c>
      <c r="P207" s="77"/>
    </row>
    <row r="208" spans="2:16" ht="17.25" x14ac:dyDescent="0.25">
      <c r="B208" s="775"/>
      <c r="C208" s="771"/>
      <c r="D208" s="771"/>
      <c r="E208" s="771"/>
      <c r="F208" s="771"/>
      <c r="G208" s="715"/>
      <c r="H208" s="706"/>
      <c r="I208" s="94">
        <f>SUM(K208+M208+O208)</f>
        <v>90000</v>
      </c>
      <c r="J208" s="95" t="str">
        <f>"(55)"</f>
        <v>(55)</v>
      </c>
      <c r="K208" s="89">
        <f>'kuni 2025 detsember tegevuskava'!Z59</f>
        <v>0</v>
      </c>
      <c r="L208" s="80" t="str">
        <f>"(55)"</f>
        <v>(55)</v>
      </c>
      <c r="M208" s="94">
        <f>'kuni 2025 detsember tegevuskava'!AC59</f>
        <v>90000</v>
      </c>
      <c r="N208" s="95" t="str">
        <f>"(55)"</f>
        <v>(55)</v>
      </c>
      <c r="O208" s="89">
        <f>'kuni 2025 detsember tegevuskava'!AF59</f>
        <v>0</v>
      </c>
      <c r="P208" s="82" t="str">
        <f>"(55)"</f>
        <v>(55)</v>
      </c>
    </row>
    <row r="209" spans="2:16" ht="17.25" x14ac:dyDescent="0.25">
      <c r="B209" s="775"/>
      <c r="C209" s="771"/>
      <c r="D209" s="771"/>
      <c r="E209" s="771"/>
      <c r="F209" s="771"/>
      <c r="G209" s="715"/>
      <c r="H209" s="706"/>
      <c r="I209" s="134" t="s">
        <v>562</v>
      </c>
      <c r="J209" s="8"/>
      <c r="K209" s="8"/>
      <c r="L209" s="8"/>
      <c r="M209" s="8"/>
      <c r="N209" s="8"/>
      <c r="O209" s="8"/>
      <c r="P209" s="142"/>
    </row>
    <row r="210" spans="2:16" ht="17.25" x14ac:dyDescent="0.25">
      <c r="B210" s="775"/>
      <c r="C210" s="771"/>
      <c r="D210" s="771"/>
      <c r="E210" s="771"/>
      <c r="F210" s="771"/>
      <c r="G210" s="715"/>
      <c r="H210" s="706"/>
      <c r="I210" s="90">
        <f>SUM(I211:I211)</f>
        <v>109800</v>
      </c>
      <c r="J210" s="91"/>
      <c r="K210" s="83">
        <f>SUM(K211:K211)</f>
        <v>0</v>
      </c>
      <c r="L210" s="84"/>
      <c r="M210" s="90">
        <f>SUM(M211:M211)</f>
        <v>109800</v>
      </c>
      <c r="N210" s="96"/>
      <c r="O210" s="90">
        <f>SUM(O211:O211)</f>
        <v>0</v>
      </c>
      <c r="P210" s="121"/>
    </row>
    <row r="211" spans="2:16" ht="35.25" customHeight="1" thickBot="1" x14ac:dyDescent="0.3">
      <c r="B211" s="777"/>
      <c r="C211" s="772"/>
      <c r="D211" s="772"/>
      <c r="E211" s="772"/>
      <c r="F211" s="772"/>
      <c r="G211" s="717"/>
      <c r="H211" s="159"/>
      <c r="I211" s="117">
        <f>SUM(K211+M211+O211)</f>
        <v>109800</v>
      </c>
      <c r="J211" s="118" t="str">
        <f>"(55)"</f>
        <v>(55)</v>
      </c>
      <c r="K211" s="85">
        <f>SUM(K208*1.2)</f>
        <v>0</v>
      </c>
      <c r="L211" s="86" t="str">
        <f>"(55)"</f>
        <v>(55)</v>
      </c>
      <c r="M211" s="117">
        <f>SUM(M208*1.22)</f>
        <v>109800</v>
      </c>
      <c r="N211" s="118" t="str">
        <f>"(55)"</f>
        <v>(55)</v>
      </c>
      <c r="O211" s="117">
        <f>SUM(O208*1.22)</f>
        <v>0</v>
      </c>
      <c r="P211" s="88" t="str">
        <f>"(55)"</f>
        <v>(55)</v>
      </c>
    </row>
    <row r="212" spans="2:16" ht="17.25" x14ac:dyDescent="0.25">
      <c r="B212" s="774" t="str">
        <f>'kuni 2025 detsember tegevuskava'!A60&amp;"/"&amp;'kuni 2025 detsember tegevuskava'!C60</f>
        <v>SOM/SOM</v>
      </c>
      <c r="C212" s="770" t="str">
        <f>'kuni 2025 detsember tegevuskava'!I60</f>
        <v>Eesti tervisesüsteemi hindamise raamistiku (HSPA) projekt on lõppenud ehk kokku on lepitud mõõdikud kogu tervisevaldkonnale. 
Kuigi mõõdikud ise on innovatsiooni ja 
digivaldkonnale kokkulepitud on puudu protsessid kuidas täpsemalt mõõtmisi läbi viia.</v>
      </c>
      <c r="D212" s="770" t="str">
        <f>'kuni 2025 detsember tegevuskava'!J60</f>
        <v>HSPA mõõdikute 
mõõtmisprotsessi
de väljatöötamine</v>
      </c>
      <c r="E212" s="770" t="str">
        <f>'kuni 2025 detsember tegevuskava'!K60</f>
        <v xml:space="preserve">Tulemus on Eesti tervisesüsteemi mõõdikute rakendamise protsess (kuidas mõõdetakse). </v>
      </c>
      <c r="F212" s="770" t="str">
        <f>'kuni 2025 detsember tegevuskava'!P60&amp;"/"</f>
        <v>SF 21-27 (taotletav raha)/</v>
      </c>
      <c r="G212" s="716" cm="1">
        <f t="array" ref="G212">_xlfn.IFS('kuni 2025 detsember tegevuskava'!G60='kuni 2025 detsember tegevuskava'!$G$77,1,'kuni 2025 detsember tegevuskava'!G60='kuni 2025 detsember tegevuskava'!$G$78,2,'kuni 2025 detsember tegevuskava'!G60='kuni 2025 detsember tegevuskava'!$G$79,3,'kuni 2025 detsember tegevuskava'!G60='kuni 2025 detsember tegevuskava'!$G$80,4)</f>
        <v>4</v>
      </c>
      <c r="H212" s="160" cm="1">
        <f t="array" ref="H212">_xlfn.IFS(OR('kuni 2025 detsember tegevuskava'!P60='kuni 2025 detsember tegevuskava'!$P$77,'kuni 2025 detsember tegevuskava'!P60='kuni 2025 detsember tegevuskava'!$P$79,'kuni 2025 detsember tegevuskava'!P60='kuni 2025 detsember tegevuskava'!$P$80,'kuni 2025 detsember tegevuskava'!P60='kuni 2025 detsember tegevuskava'!$P$81),1,'kuni 2025 detsember tegevuskava'!P60='kuni 2025 detsember tegevuskava'!$P$82,2,'kuni 2025 detsember tegevuskava'!P60='kuni 2025 detsember tegevuskava'!$P$83,2,'kuni 2025 detsember tegevuskava'!P60='kuni 2025 detsember tegevuskava'!$P$78,3)</f>
        <v>2</v>
      </c>
      <c r="I212" s="119">
        <f>SUM(I213:I213)</f>
        <v>60000</v>
      </c>
      <c r="J212" s="120"/>
      <c r="K212" s="73">
        <f>SUM(K213:K213)</f>
        <v>0</v>
      </c>
      <c r="L212" s="75"/>
      <c r="M212" s="119">
        <f>SUM(M213:M213)</f>
        <v>60000</v>
      </c>
      <c r="N212" s="120"/>
      <c r="O212" s="73">
        <f>SUM(O213:O213)</f>
        <v>0</v>
      </c>
      <c r="P212" s="77"/>
    </row>
    <row r="213" spans="2:16" ht="17.25" x14ac:dyDescent="0.25">
      <c r="B213" s="775"/>
      <c r="C213" s="771"/>
      <c r="D213" s="771"/>
      <c r="E213" s="771"/>
      <c r="F213" s="771"/>
      <c r="G213" s="715"/>
      <c r="H213" s="706"/>
      <c r="I213" s="92">
        <f>SUM(K213+M213+O213)</f>
        <v>60000</v>
      </c>
      <c r="J213" s="93" t="str">
        <f>"(55)"</f>
        <v>(55)</v>
      </c>
      <c r="K213" s="89">
        <f>'kuni 2025 detsember tegevuskava'!Z60</f>
        <v>0</v>
      </c>
      <c r="L213" s="702" t="str">
        <f>"(55)"</f>
        <v>(55)</v>
      </c>
      <c r="M213" s="94">
        <f>'kuni 2025 detsember tegevuskava'!AC60</f>
        <v>60000</v>
      </c>
      <c r="N213" s="93" t="str">
        <f>"(55)"</f>
        <v>(55)</v>
      </c>
      <c r="O213" s="89">
        <f>'kuni 2025 detsember tegevuskava'!AF60</f>
        <v>0</v>
      </c>
      <c r="P213" s="79" t="str">
        <f>"(55)"</f>
        <v>(55)</v>
      </c>
    </row>
    <row r="214" spans="2:16" ht="17.25" x14ac:dyDescent="0.25">
      <c r="B214" s="775"/>
      <c r="C214" s="771"/>
      <c r="D214" s="771"/>
      <c r="E214" s="771"/>
      <c r="F214" s="771"/>
      <c r="G214" s="715"/>
      <c r="H214" s="706"/>
      <c r="I214" s="155" t="s">
        <v>562</v>
      </c>
      <c r="J214" s="161"/>
      <c r="K214" s="161"/>
      <c r="L214" s="161"/>
      <c r="M214" s="161"/>
      <c r="N214" s="161"/>
      <c r="O214" s="161"/>
      <c r="P214" s="162"/>
    </row>
    <row r="215" spans="2:16" ht="17.25" x14ac:dyDescent="0.25">
      <c r="B215" s="775"/>
      <c r="C215" s="771"/>
      <c r="D215" s="771"/>
      <c r="E215" s="771"/>
      <c r="F215" s="771"/>
      <c r="G215" s="715"/>
      <c r="H215" s="706"/>
      <c r="I215" s="153">
        <f>SUM(I216:I216)</f>
        <v>73200</v>
      </c>
      <c r="J215" s="93"/>
      <c r="K215" s="703">
        <f>SUM(K216:K216)</f>
        <v>0</v>
      </c>
      <c r="L215" s="704"/>
      <c r="M215" s="153">
        <f>SUM(M216:M216)</f>
        <v>73200</v>
      </c>
      <c r="N215" s="146"/>
      <c r="O215" s="153">
        <f>SUM(O216:O216)</f>
        <v>0</v>
      </c>
      <c r="P215" s="64"/>
    </row>
    <row r="216" spans="2:16" ht="32.25" customHeight="1" thickBot="1" x14ac:dyDescent="0.3">
      <c r="B216" s="777"/>
      <c r="C216" s="772"/>
      <c r="D216" s="772"/>
      <c r="E216" s="772"/>
      <c r="F216" s="772"/>
      <c r="G216" s="717"/>
      <c r="H216" s="159"/>
      <c r="I216" s="117">
        <f>SUM(K216+M216+O216)</f>
        <v>73200</v>
      </c>
      <c r="J216" s="118" t="str">
        <f>"(55)"</f>
        <v>(55)</v>
      </c>
      <c r="K216" s="85">
        <f>SUM(K213*1.2)</f>
        <v>0</v>
      </c>
      <c r="L216" s="86" t="str">
        <f>"(55)"</f>
        <v>(55)</v>
      </c>
      <c r="M216" s="117">
        <f>SUM(M213*1.22)</f>
        <v>73200</v>
      </c>
      <c r="N216" s="118" t="str">
        <f>"(55)"</f>
        <v>(55)</v>
      </c>
      <c r="O216" s="117">
        <f>SUM(O213*1.22)</f>
        <v>0</v>
      </c>
      <c r="P216" s="88" t="str">
        <f>"(55)"</f>
        <v>(55)</v>
      </c>
    </row>
    <row r="217" spans="2:16" ht="17.25" x14ac:dyDescent="0.25">
      <c r="B217" s="774" t="str">
        <f>'kuni 2025 detsember tegevuskava'!A62&amp;"/"&amp;'kuni 2025 detsember tegevuskava'!C118</f>
        <v>SOM/</v>
      </c>
      <c r="C217" s="770" t="str">
        <f>'kuni 2025 detsember tegevuskava'!I62</f>
        <v xml:space="preserve">Terviseameti (TA) menetlusinfosüsteemi MEIS kasutuselevõtu järgselt on leitud mitmeid järelevalvemenetluse tööprotsessi tegevusi, mida ametnikud viivad läbi teistes keskkondades (nt dokumendihaldussüsteem, e-post või paberkandja), mis omakorda tõstab üldist ajakulu ning tekitab keerukust eri keskkondade vahel navigeerimise näol (sh menetlusosalisele isikule). </v>
      </c>
      <c r="D217" s="770" t="str">
        <f>'kuni 2025 detsember tegevuskava'!J62</f>
        <v>MEIS II etapp</v>
      </c>
      <c r="E217" s="770" t="str">
        <f>'kuni 2025 detsember tegevuskava'!K62</f>
        <v>Täiendatud TA järelevalvemenetluse tööprotsess MEIS-s võimaldab nii ametnikul, kui ka menetlusosalisel isikul teha kõik toimingud ühes keskkonnas. Seeläbi tõuseb veelgi kogu protsessi kvaliteet, kiirus ning kasutajate rahulolu. Viiakse läbi turvatestimine 2025 aastal.</v>
      </c>
      <c r="F217" s="770" t="str">
        <f>'kuni 2025 detsember tegevuskava'!P62&amp;"/"</f>
        <v>SF 21-27 (taotletav raha)/</v>
      </c>
      <c r="G217" s="716" cm="1">
        <f t="array" ref="G217">_xlfn.IFS('kuni 2025 detsember tegevuskava'!G62='kuni 2025 detsember tegevuskava'!$G$77,1,'kuni 2025 detsember tegevuskava'!G62='kuni 2025 detsember tegevuskava'!$G$78,2,'kuni 2025 detsember tegevuskava'!G62='kuni 2025 detsember tegevuskava'!$G$79,3,'kuni 2025 detsember tegevuskava'!G62='kuni 2025 detsember tegevuskava'!$G$80,4)</f>
        <v>1</v>
      </c>
      <c r="H217" s="160" cm="1">
        <f t="array" ref="H217">_xlfn.IFS(OR('kuni 2025 detsember tegevuskava'!P62='kuni 2025 detsember tegevuskava'!$P$77,'kuni 2025 detsember tegevuskava'!P62='kuni 2025 detsember tegevuskava'!$P$79,'kuni 2025 detsember tegevuskava'!P62='kuni 2025 detsember tegevuskava'!$P$80,'kuni 2025 detsember tegevuskava'!P62='kuni 2025 detsember tegevuskava'!$P$81),1,'kuni 2025 detsember tegevuskava'!P62='kuni 2025 detsember tegevuskava'!$P$82,2,'kuni 2025 detsember tegevuskava'!P62='kuni 2025 detsember tegevuskava'!$P$83,2,'kuni 2025 detsember tegevuskava'!P62='kuni 2025 detsember tegevuskava'!$P$78,3)</f>
        <v>2</v>
      </c>
      <c r="I217" s="119">
        <f>SUM(I218:I219)</f>
        <v>237750</v>
      </c>
      <c r="J217" s="120"/>
      <c r="K217" s="73">
        <f>SUM(K218:K219)</f>
        <v>0</v>
      </c>
      <c r="L217" s="75"/>
      <c r="M217" s="119">
        <f>SUM(M218:M219)</f>
        <v>86100</v>
      </c>
      <c r="N217" s="120"/>
      <c r="O217" s="73">
        <f>SUM(O218:O219)</f>
        <v>151650</v>
      </c>
      <c r="P217" s="77"/>
    </row>
    <row r="218" spans="2:16" ht="17.25" x14ac:dyDescent="0.25">
      <c r="B218" s="775"/>
      <c r="C218" s="771"/>
      <c r="D218" s="771"/>
      <c r="E218" s="771"/>
      <c r="F218" s="771"/>
      <c r="G218" s="715"/>
      <c r="H218" s="706"/>
      <c r="I218" s="92">
        <f>SUM(K218+M218+O218)</f>
        <v>165150</v>
      </c>
      <c r="J218" s="93" t="str">
        <f>"(15)"</f>
        <v>(15)</v>
      </c>
      <c r="K218" s="705">
        <f>'kuni 2025 detsember tegevuskava'!X62</f>
        <v>0</v>
      </c>
      <c r="L218" s="702" t="str">
        <f>"(15)"</f>
        <v>(15)</v>
      </c>
      <c r="M218" s="92">
        <f>'kuni 2025 detsember tegevuskava'!AA62</f>
        <v>49800</v>
      </c>
      <c r="N218" s="93" t="str">
        <f>"(15)"</f>
        <v>(15)</v>
      </c>
      <c r="O218" s="705">
        <f>'kuni 2025 detsember tegevuskava'!AD62</f>
        <v>115350</v>
      </c>
      <c r="P218" s="79" t="str">
        <f>"(15)"</f>
        <v>(15)</v>
      </c>
    </row>
    <row r="219" spans="2:16" ht="17.25" x14ac:dyDescent="0.25">
      <c r="B219" s="775"/>
      <c r="C219" s="771"/>
      <c r="D219" s="771"/>
      <c r="E219" s="771"/>
      <c r="F219" s="771"/>
      <c r="G219" s="715"/>
      <c r="H219" s="706"/>
      <c r="I219" s="92">
        <f>SUM(K219+M219+O219)</f>
        <v>72600</v>
      </c>
      <c r="J219" s="93" t="str">
        <f>"(50)"</f>
        <v>(50)</v>
      </c>
      <c r="K219" s="705">
        <f>'kuni 2025 detsember tegevuskava'!Y62</f>
        <v>0</v>
      </c>
      <c r="L219" s="702" t="str">
        <f>"(50)"</f>
        <v>(50)</v>
      </c>
      <c r="M219" s="92">
        <f>'kuni 2025 detsember tegevuskava'!AB62</f>
        <v>36300</v>
      </c>
      <c r="N219" s="93" t="str">
        <f>"(50)"</f>
        <v>(50)</v>
      </c>
      <c r="O219" s="705">
        <f>'kuni 2025 detsember tegevuskava'!AE62</f>
        <v>36300</v>
      </c>
      <c r="P219" s="79" t="str">
        <f>"(50)"</f>
        <v>(50)</v>
      </c>
    </row>
    <row r="220" spans="2:16" ht="17.25" x14ac:dyDescent="0.25">
      <c r="B220" s="775"/>
      <c r="C220" s="771"/>
      <c r="D220" s="771"/>
      <c r="E220" s="771"/>
      <c r="F220" s="771"/>
      <c r="G220" s="715"/>
      <c r="H220" s="706"/>
      <c r="I220" s="155" t="s">
        <v>562</v>
      </c>
      <c r="J220" s="161"/>
      <c r="K220" s="161"/>
      <c r="L220" s="161"/>
      <c r="M220" s="161"/>
      <c r="N220" s="161"/>
      <c r="O220" s="161"/>
      <c r="P220" s="162"/>
    </row>
    <row r="221" spans="2:16" ht="17.25" x14ac:dyDescent="0.25">
      <c r="B221" s="775"/>
      <c r="C221" s="771"/>
      <c r="D221" s="771"/>
      <c r="E221" s="771"/>
      <c r="F221" s="771"/>
      <c r="G221" s="715"/>
      <c r="H221" s="706"/>
      <c r="I221" s="153">
        <f>SUM(I222:I223)</f>
        <v>274083</v>
      </c>
      <c r="J221" s="93"/>
      <c r="K221" s="703">
        <f>SUM(K222:K223)</f>
        <v>0</v>
      </c>
      <c r="L221" s="704"/>
      <c r="M221" s="153">
        <f>SUM(M222:M223)</f>
        <v>97056</v>
      </c>
      <c r="N221" s="146"/>
      <c r="O221" s="153">
        <f>SUM(O222:O223)</f>
        <v>177027</v>
      </c>
      <c r="P221" s="64"/>
    </row>
    <row r="222" spans="2:16" ht="17.25" x14ac:dyDescent="0.25">
      <c r="B222" s="775"/>
      <c r="C222" s="771"/>
      <c r="D222" s="771"/>
      <c r="E222" s="771"/>
      <c r="F222" s="771"/>
      <c r="G222" s="715"/>
      <c r="H222" s="706"/>
      <c r="I222" s="92">
        <f>SUM(K222+M222+O222)</f>
        <v>201483</v>
      </c>
      <c r="J222" s="93" t="str">
        <f>"(15)"</f>
        <v>(15)</v>
      </c>
      <c r="K222" s="705">
        <f>SUM(K218*1.2)</f>
        <v>0</v>
      </c>
      <c r="L222" s="702" t="str">
        <f>"(15)"</f>
        <v>(15)</v>
      </c>
      <c r="M222" s="92">
        <f>SUM(M218*1.22)</f>
        <v>60756</v>
      </c>
      <c r="N222" s="93" t="str">
        <f>"(15)"</f>
        <v>(15)</v>
      </c>
      <c r="O222" s="92">
        <f>SUM(O218*1.22)</f>
        <v>140727</v>
      </c>
      <c r="P222" s="79" t="str">
        <f>"(15)"</f>
        <v>(15)</v>
      </c>
    </row>
    <row r="223" spans="2:16" ht="40.5" customHeight="1" thickBot="1" x14ac:dyDescent="0.3">
      <c r="B223" s="777"/>
      <c r="C223" s="772"/>
      <c r="D223" s="772"/>
      <c r="E223" s="772"/>
      <c r="F223" s="772"/>
      <c r="G223" s="717"/>
      <c r="H223" s="159"/>
      <c r="I223" s="117">
        <f>SUM(K223+M223+O223)</f>
        <v>72600</v>
      </c>
      <c r="J223" s="118" t="str">
        <f>"(50)"</f>
        <v>(50)</v>
      </c>
      <c r="K223" s="85">
        <f>K219</f>
        <v>0</v>
      </c>
      <c r="L223" s="86" t="str">
        <f>"(50)"</f>
        <v>(50)</v>
      </c>
      <c r="M223" s="117">
        <f>M219</f>
        <v>36300</v>
      </c>
      <c r="N223" s="118" t="str">
        <f>"(50)"</f>
        <v>(50)</v>
      </c>
      <c r="O223" s="117">
        <f>O219</f>
        <v>36300</v>
      </c>
      <c r="P223" s="88" t="str">
        <f>"(50)"</f>
        <v>(50)</v>
      </c>
    </row>
    <row r="224" spans="2:16" ht="18" customHeight="1" x14ac:dyDescent="0.25">
      <c r="B224" s="774" t="str">
        <f>'kuni 2025 detsember tegevuskava'!A63&amp;"/"&amp;'kuni 2025 detsember tegevuskava'!C63</f>
        <v>SOM/TEHIK</v>
      </c>
      <c r="C224" s="770" t="str">
        <f>'kuni 2025 detsember tegevuskava'!I63</f>
        <v xml:space="preserve">Läbi aastate on kogutud väga palju digitaalseid andmeid, aga nende kasutamine otsuste tegemiseks on minimaalne ning andmete kasutamiseks tuleb läbi teha pikk ja kohmakas protsess. See ei vasta kasutajate ootustele ega Digiühiskonna arengukava 2030 ühele strateegilisele eesmärgile „Andmepõhine riigivalitsemine ja andmete taaskasutus“. Samuti on see andmeesitajatele koormav, kuna tihti küsitakse andmeid mitu korda, erineval moel ja erinevatesse kanalitesse.
Tehiniline vaade:
Tehiku kasutuses on hetkel kaks andmeladude platvormi. Uued lahendused on loodud moodsale Vertica platvormile kuivõrd kõige keerukam ja mahukam Tervise infosüsteemi andmeladu (Statistikamoodul) on Sybase IQ platvormil. Seni kuni TIS andmeladu on vanal platvormil oleme sunnitud ka osalisi uusi arendusi tegema Sybase IQ platvormile, mis tulevikus on vaja eraldi projektiga kolida Vertica platvormile.	
</v>
      </c>
      <c r="D224" s="770" t="str">
        <f>'kuni 2025 detsember tegevuskava'!J63</f>
        <v>Andmed otsuste tegemiseks</v>
      </c>
      <c r="E224" s="770" t="str">
        <f>'kuni 2025 detsember tegevuskava'!K63</f>
        <v xml:space="preserve">SOMi valitsemisala üleselt on võimalik kasutada erinevate andmekogude andmeid vajalike poliitilise otsuste ja juhtimisotsuste tegemiseks ning toetatud on kiire operatiivinfo väljastamine kiireloomuliste otsuste tegemiseks. Andmete väljastamise protsess on optimeeritud. Andmete omamise ja töötlemise juriidiline korraldus on viidud mõistlikule, väikseima bürokraatia tasemele.
TEHIK kasutuses on üks andmelao platvorm – Vertica. On olemas tervise infosüsteemi andmelao (Statisikamoodul) migreerimisplaan ja -töödega on alustatud, seal hulgas viiakse tervise infosüsteemi andmed analüütika tegemiseks sobivale kujule. Sybase IQ sulgemise tähtaeg on teada.
Uusi teenuseid arendatakse ühel platvormil.
</v>
      </c>
      <c r="F224" s="770" t="str">
        <f>'kuni 2025 detsember tegevuskava'!P63&amp;"/"</f>
        <v>SF 21-27 (taotletav raha)/</v>
      </c>
      <c r="G224" s="716" cm="1">
        <f t="array" ref="G224">_xlfn.IFS('kuni 2025 detsember tegevuskava'!G63='kuni 2025 detsember tegevuskava'!$G$77,1,'kuni 2025 detsember tegevuskava'!G63='kuni 2025 detsember tegevuskava'!$G$78,2,'kuni 2025 detsember tegevuskava'!G63='kuni 2025 detsember tegevuskava'!$G$79,3,'kuni 2025 detsember tegevuskava'!G63='kuni 2025 detsember tegevuskava'!$G$80,4)</f>
        <v>1</v>
      </c>
      <c r="H224" s="160" cm="1">
        <f t="array" ref="H224">_xlfn.IFS(OR('kuni 2025 detsember tegevuskava'!P63='kuni 2025 detsember tegevuskava'!$P$77,'kuni 2025 detsember tegevuskava'!P63='kuni 2025 detsember tegevuskava'!$P$79,'kuni 2025 detsember tegevuskava'!P63='kuni 2025 detsember tegevuskava'!$P$80,'kuni 2025 detsember tegevuskava'!P63='kuni 2025 detsember tegevuskava'!$P$81),1,'kuni 2025 detsember tegevuskava'!P63='kuni 2025 detsember tegevuskava'!$P$82,2,'kuni 2025 detsember tegevuskava'!P63='kuni 2025 detsember tegevuskava'!$P$83,2,'kuni 2025 detsember tegevuskava'!P63='kuni 2025 detsember tegevuskava'!$P$78,3)</f>
        <v>2</v>
      </c>
      <c r="I224" s="119">
        <f>SUM(I225:I226)</f>
        <v>679900</v>
      </c>
      <c r="J224" s="120"/>
      <c r="K224" s="73">
        <f>SUM(K225:K226)</f>
        <v>0</v>
      </c>
      <c r="L224" s="75"/>
      <c r="M224" s="119">
        <f>SUM(M225:M226)</f>
        <v>165500</v>
      </c>
      <c r="N224" s="120"/>
      <c r="O224" s="73">
        <f>SUM(O225:O226)</f>
        <v>514400</v>
      </c>
      <c r="P224" s="77"/>
    </row>
    <row r="225" spans="2:16" ht="18" customHeight="1" x14ac:dyDescent="0.25">
      <c r="B225" s="775"/>
      <c r="C225" s="771"/>
      <c r="D225" s="771"/>
      <c r="E225" s="771"/>
      <c r="F225" s="771"/>
      <c r="G225" s="715"/>
      <c r="H225" s="706"/>
      <c r="I225" s="92">
        <f>SUM(K225+M225+O225)</f>
        <v>256750</v>
      </c>
      <c r="J225" s="93" t="str">
        <f>"(15)"</f>
        <v>(15)</v>
      </c>
      <c r="K225" s="705">
        <f>'kuni 2025 detsember tegevuskava'!X63</f>
        <v>0</v>
      </c>
      <c r="L225" s="702" t="str">
        <f>"(15)"</f>
        <v>(15)</v>
      </c>
      <c r="M225" s="92">
        <f>'kuni 2025 detsember tegevuskava'!AA63</f>
        <v>70000</v>
      </c>
      <c r="N225" s="93" t="str">
        <f>"(15)"</f>
        <v>(15)</v>
      </c>
      <c r="O225" s="705">
        <f>'kuni 2025 detsember tegevuskava'!AD63</f>
        <v>186750</v>
      </c>
      <c r="P225" s="79" t="str">
        <f>"(15)"</f>
        <v>(15)</v>
      </c>
    </row>
    <row r="226" spans="2:16" ht="18" customHeight="1" x14ac:dyDescent="0.25">
      <c r="B226" s="775"/>
      <c r="C226" s="771"/>
      <c r="D226" s="771"/>
      <c r="E226" s="771"/>
      <c r="F226" s="771"/>
      <c r="G226" s="715"/>
      <c r="H226" s="706"/>
      <c r="I226" s="92">
        <f>SUM(K226+M226+O226)</f>
        <v>423150</v>
      </c>
      <c r="J226" s="93" t="str">
        <f>"(50)"</f>
        <v>(50)</v>
      </c>
      <c r="K226" s="705">
        <f>'kuni 2025 detsember tegevuskava'!Y63</f>
        <v>0</v>
      </c>
      <c r="L226" s="702" t="str">
        <f>"(50)"</f>
        <v>(50)</v>
      </c>
      <c r="M226" s="92">
        <f>'kuni 2025 detsember tegevuskava'!AB63</f>
        <v>95500</v>
      </c>
      <c r="N226" s="93" t="str">
        <f>"(50)"</f>
        <v>(50)</v>
      </c>
      <c r="O226" s="705">
        <f>'kuni 2025 detsember tegevuskava'!AE63</f>
        <v>327650</v>
      </c>
      <c r="P226" s="79" t="str">
        <f>"(50)"</f>
        <v>(50)</v>
      </c>
    </row>
    <row r="227" spans="2:16" ht="18" customHeight="1" x14ac:dyDescent="0.25">
      <c r="B227" s="775"/>
      <c r="C227" s="771"/>
      <c r="D227" s="771"/>
      <c r="E227" s="771"/>
      <c r="F227" s="771"/>
      <c r="G227" s="715"/>
      <c r="H227" s="706"/>
      <c r="I227" s="155" t="s">
        <v>562</v>
      </c>
      <c r="J227" s="161"/>
      <c r="K227" s="161"/>
      <c r="L227" s="161"/>
      <c r="M227" s="161"/>
      <c r="N227" s="161"/>
      <c r="O227" s="161"/>
      <c r="P227" s="162"/>
    </row>
    <row r="228" spans="2:16" ht="18" customHeight="1" x14ac:dyDescent="0.25">
      <c r="B228" s="775"/>
      <c r="C228" s="771"/>
      <c r="D228" s="771"/>
      <c r="E228" s="771"/>
      <c r="F228" s="771"/>
      <c r="G228" s="715"/>
      <c r="H228" s="706"/>
      <c r="I228" s="153">
        <f>SUM(I229:I230)</f>
        <v>736385</v>
      </c>
      <c r="J228" s="93"/>
      <c r="K228" s="703">
        <f>SUM(K229:K230)</f>
        <v>0</v>
      </c>
      <c r="L228" s="704"/>
      <c r="M228" s="153">
        <f>SUM(M229:M230)</f>
        <v>180900</v>
      </c>
      <c r="N228" s="146"/>
      <c r="O228" s="153">
        <f>SUM(O229:O230)</f>
        <v>555485</v>
      </c>
      <c r="P228" s="64"/>
    </row>
    <row r="229" spans="2:16" ht="18" customHeight="1" x14ac:dyDescent="0.25">
      <c r="B229" s="775"/>
      <c r="C229" s="771"/>
      <c r="D229" s="771"/>
      <c r="E229" s="771"/>
      <c r="F229" s="771"/>
      <c r="G229" s="715"/>
      <c r="H229" s="706"/>
      <c r="I229" s="92">
        <f>SUM(K229+M229+O229)</f>
        <v>313235</v>
      </c>
      <c r="J229" s="93" t="str">
        <f>"(15)"</f>
        <v>(15)</v>
      </c>
      <c r="K229" s="705">
        <f>SUM(K225*1.2)</f>
        <v>0</v>
      </c>
      <c r="L229" s="702" t="str">
        <f>"(15)"</f>
        <v>(15)</v>
      </c>
      <c r="M229" s="92">
        <f>SUM(M225*1.22)</f>
        <v>85400</v>
      </c>
      <c r="N229" s="93" t="str">
        <f>"(15)"</f>
        <v>(15)</v>
      </c>
      <c r="O229" s="92">
        <f>SUM(O225*1.22)</f>
        <v>227835</v>
      </c>
      <c r="P229" s="79" t="str">
        <f>"(15)"</f>
        <v>(15)</v>
      </c>
    </row>
    <row r="230" spans="2:16" ht="229.5" customHeight="1" thickBot="1" x14ac:dyDescent="0.3">
      <c r="B230" s="777"/>
      <c r="C230" s="772"/>
      <c r="D230" s="772"/>
      <c r="E230" s="772"/>
      <c r="F230" s="772"/>
      <c r="G230" s="717"/>
      <c r="H230" s="159"/>
      <c r="I230" s="117">
        <f>SUM(K230+M230+O230)</f>
        <v>423150</v>
      </c>
      <c r="J230" s="118" t="str">
        <f>"(50)"</f>
        <v>(50)</v>
      </c>
      <c r="K230" s="85">
        <f>K226</f>
        <v>0</v>
      </c>
      <c r="L230" s="86" t="str">
        <f>"(50)"</f>
        <v>(50)</v>
      </c>
      <c r="M230" s="117">
        <f>M226</f>
        <v>95500</v>
      </c>
      <c r="N230" s="118" t="str">
        <f>"(50)"</f>
        <v>(50)</v>
      </c>
      <c r="O230" s="117">
        <f>O226</f>
        <v>327650</v>
      </c>
      <c r="P230" s="88" t="str">
        <f>"(50)"</f>
        <v>(50)</v>
      </c>
    </row>
    <row r="231" spans="2:16" ht="18" customHeight="1" x14ac:dyDescent="0.25">
      <c r="B231" s="774" t="str">
        <f>'kuni 2025 detsember tegevuskava'!A64&amp;"/"&amp;'kuni 2025 detsember tegevuskava'!C64</f>
        <v>SOM/TEHIK</v>
      </c>
      <c r="C231" s="770"/>
      <c r="D231" s="770" t="str">
        <f>'kuni 2025 detsember tegevuskava'!J64</f>
        <v>Toetavad tegevused pikaajalise ajutise töövõimetusega inimestele toetussüsteemi loomiseks</v>
      </c>
      <c r="E231" s="770"/>
      <c r="F231" s="770" t="str">
        <f>'kuni 2025 detsember tegevuskava'!P64&amp;"/"</f>
        <v>Muu rahastus/</v>
      </c>
      <c r="G231" s="716" cm="1">
        <f t="array" ref="G231">_xlfn.IFS('kuni 2025 detsember tegevuskava'!G64='kuni 2025 detsember tegevuskava'!$G$77,1,'kuni 2025 detsember tegevuskava'!G64='kuni 2025 detsember tegevuskava'!$G$78,2,'kuni 2025 detsember tegevuskava'!G64='kuni 2025 detsember tegevuskava'!$G$79,3,'kuni 2025 detsember tegevuskava'!G64='kuni 2025 detsember tegevuskava'!$G$80,4)</f>
        <v>4</v>
      </c>
      <c r="H231" s="160" cm="1">
        <f t="array" ref="H231">_xlfn.IFS(OR('kuni 2025 detsember tegevuskava'!P64='kuni 2025 detsember tegevuskava'!$P$77,'kuni 2025 detsember tegevuskava'!P64='kuni 2025 detsember tegevuskava'!$P$79,'kuni 2025 detsember tegevuskava'!P64='kuni 2025 detsember tegevuskava'!$P$80,'kuni 2025 detsember tegevuskava'!P64='kuni 2025 detsember tegevuskava'!$P$81),1,'kuni 2025 detsember tegevuskava'!P64='kuni 2025 detsember tegevuskava'!$P$82,2,'kuni 2025 detsember tegevuskava'!P64='kuni 2025 detsember tegevuskava'!$P$83,2,'kuni 2025 detsember tegevuskava'!P64='kuni 2025 detsember tegevuskava'!$P$78,3)</f>
        <v>3</v>
      </c>
      <c r="I231" s="119">
        <f>SUM(I232:I234)</f>
        <v>1420076</v>
      </c>
      <c r="J231" s="120"/>
      <c r="K231" s="73">
        <f>SUM(K232:K234)</f>
        <v>69600</v>
      </c>
      <c r="L231" s="75"/>
      <c r="M231" s="119">
        <f>SUM(M232:M234)</f>
        <v>780918</v>
      </c>
      <c r="N231" s="120"/>
      <c r="O231" s="73">
        <f>SUM(O232:O234)</f>
        <v>569558</v>
      </c>
      <c r="P231" s="77"/>
    </row>
    <row r="232" spans="2:16" ht="18" customHeight="1" x14ac:dyDescent="0.25">
      <c r="B232" s="775"/>
      <c r="C232" s="771"/>
      <c r="D232" s="771"/>
      <c r="E232" s="771"/>
      <c r="F232" s="771"/>
      <c r="G232" s="715"/>
      <c r="H232" s="706"/>
      <c r="I232" s="92">
        <f>SUM(K232+M232+O232)</f>
        <v>1130781</v>
      </c>
      <c r="J232" s="93" t="str">
        <f>"(15)"</f>
        <v>(15)</v>
      </c>
      <c r="K232" s="705">
        <f>'kuni 2025 detsember tegevuskava'!X64</f>
        <v>69600</v>
      </c>
      <c r="L232" s="702" t="str">
        <f>"(15)"</f>
        <v>(15)</v>
      </c>
      <c r="M232" s="92">
        <f>'kuni 2025 detsember tegevuskava'!AA64</f>
        <v>610361</v>
      </c>
      <c r="N232" s="93" t="str">
        <f>"(15)"</f>
        <v>(15)</v>
      </c>
      <c r="O232" s="705">
        <f>'kuni 2025 detsember tegevuskava'!AD64</f>
        <v>450820</v>
      </c>
      <c r="P232" s="79" t="str">
        <f>"(15)"</f>
        <v>(15)</v>
      </c>
    </row>
    <row r="233" spans="2:16" ht="18" customHeight="1" x14ac:dyDescent="0.25">
      <c r="B233" s="775"/>
      <c r="C233" s="771"/>
      <c r="D233" s="771"/>
      <c r="E233" s="771"/>
      <c r="F233" s="771"/>
      <c r="G233" s="715"/>
      <c r="H233" s="706"/>
      <c r="I233" s="92">
        <f>SUM(K233+M233+O233)</f>
        <v>251560</v>
      </c>
      <c r="J233" s="93" t="str">
        <f>"(50)"</f>
        <v>(50)</v>
      </c>
      <c r="K233" s="705">
        <f>'kuni 2025 detsember tegevuskava'!Y64</f>
        <v>0</v>
      </c>
      <c r="L233" s="702" t="str">
        <f>"(50)"</f>
        <v>(50)</v>
      </c>
      <c r="M233" s="92">
        <f>'kuni 2025 detsember tegevuskava'!AB64</f>
        <v>148310</v>
      </c>
      <c r="N233" s="93" t="str">
        <f>"(50)"</f>
        <v>(50)</v>
      </c>
      <c r="O233" s="705">
        <f>'kuni 2025 detsember tegevuskava'!AE64</f>
        <v>103250</v>
      </c>
      <c r="P233" s="79" t="str">
        <f>"(50)"</f>
        <v>(50)</v>
      </c>
    </row>
    <row r="234" spans="2:16" ht="18" customHeight="1" x14ac:dyDescent="0.25">
      <c r="B234" s="775"/>
      <c r="C234" s="771"/>
      <c r="D234" s="771"/>
      <c r="E234" s="771"/>
      <c r="F234" s="771"/>
      <c r="G234" s="715"/>
      <c r="H234" s="706"/>
      <c r="I234" s="92">
        <f>SUM(K234+M234+O234)</f>
        <v>37735</v>
      </c>
      <c r="J234" s="93" t="str">
        <f>"(55)"</f>
        <v>(55)</v>
      </c>
      <c r="K234" s="89">
        <f>'kuni 2025 detsember tegevuskava'!Z64</f>
        <v>0</v>
      </c>
      <c r="L234" s="702" t="str">
        <f>"(55)"</f>
        <v>(55)</v>
      </c>
      <c r="M234" s="94">
        <f>'kuni 2025 detsember tegevuskava'!AC64</f>
        <v>22247</v>
      </c>
      <c r="N234" s="93" t="str">
        <f>"(55)"</f>
        <v>(55)</v>
      </c>
      <c r="O234" s="89">
        <f>'kuni 2025 detsember tegevuskava'!AF64</f>
        <v>15488</v>
      </c>
      <c r="P234" s="79" t="str">
        <f>"(55)"</f>
        <v>(55)</v>
      </c>
    </row>
    <row r="235" spans="2:16" ht="18" customHeight="1" x14ac:dyDescent="0.25">
      <c r="B235" s="775"/>
      <c r="C235" s="771"/>
      <c r="D235" s="771"/>
      <c r="E235" s="771"/>
      <c r="F235" s="771"/>
      <c r="G235" s="715"/>
      <c r="H235" s="706"/>
      <c r="I235" s="155" t="s">
        <v>562</v>
      </c>
      <c r="J235" s="161"/>
      <c r="K235" s="161"/>
      <c r="L235" s="161"/>
      <c r="M235" s="161"/>
      <c r="N235" s="161"/>
      <c r="O235" s="161"/>
      <c r="P235" s="162"/>
    </row>
    <row r="236" spans="2:16" ht="18" customHeight="1" x14ac:dyDescent="0.25">
      <c r="B236" s="775"/>
      <c r="C236" s="771"/>
      <c r="D236" s="771"/>
      <c r="E236" s="771"/>
      <c r="F236" s="771"/>
      <c r="G236" s="715"/>
      <c r="H236" s="706"/>
      <c r="I236" s="153">
        <f>SUM(I237:I239)</f>
        <v>1675757.52</v>
      </c>
      <c r="J236" s="93"/>
      <c r="K236" s="703">
        <f>SUM(K237:K239)</f>
        <v>83520</v>
      </c>
      <c r="L236" s="704"/>
      <c r="M236" s="153">
        <f>SUM(M237:M239)</f>
        <v>920091.76</v>
      </c>
      <c r="N236" s="146"/>
      <c r="O236" s="153">
        <f>SUM(O237:O239)</f>
        <v>672145.76</v>
      </c>
      <c r="P236" s="64"/>
    </row>
    <row r="237" spans="2:16" ht="18" customHeight="1" x14ac:dyDescent="0.25">
      <c r="B237" s="775"/>
      <c r="C237" s="771"/>
      <c r="D237" s="771"/>
      <c r="E237" s="771"/>
      <c r="F237" s="771"/>
      <c r="G237" s="715"/>
      <c r="H237" s="706"/>
      <c r="I237" s="92">
        <f>SUM(K237+M237+O237)</f>
        <v>1378160.82</v>
      </c>
      <c r="J237" s="93" t="str">
        <f>"(15)"</f>
        <v>(15)</v>
      </c>
      <c r="K237" s="705">
        <f>SUM(K232*1.2)</f>
        <v>83520</v>
      </c>
      <c r="L237" s="702" t="str">
        <f>"(15)"</f>
        <v>(15)</v>
      </c>
      <c r="M237" s="92">
        <f>SUM(M232*1.22)</f>
        <v>744640.42</v>
      </c>
      <c r="N237" s="93" t="str">
        <f>"(15)"</f>
        <v>(15)</v>
      </c>
      <c r="O237" s="92">
        <f>SUM(O232*1.22)</f>
        <v>550000.4</v>
      </c>
      <c r="P237" s="79" t="str">
        <f>"(15)"</f>
        <v>(15)</v>
      </c>
    </row>
    <row r="238" spans="2:16" ht="18" customHeight="1" x14ac:dyDescent="0.25">
      <c r="B238" s="775"/>
      <c r="C238" s="771"/>
      <c r="D238" s="771"/>
      <c r="E238" s="771"/>
      <c r="F238" s="771"/>
      <c r="G238" s="715"/>
      <c r="H238" s="706"/>
      <c r="I238" s="92">
        <f>SUM(K238+M238+O238)</f>
        <v>251560</v>
      </c>
      <c r="J238" s="93" t="str">
        <f>"(50)"</f>
        <v>(50)</v>
      </c>
      <c r="K238" s="705">
        <f>K233</f>
        <v>0</v>
      </c>
      <c r="L238" s="702" t="str">
        <f>"(50)"</f>
        <v>(50)</v>
      </c>
      <c r="M238" s="92">
        <f>M233</f>
        <v>148310</v>
      </c>
      <c r="N238" s="93" t="str">
        <f>"(50)"</f>
        <v>(50)</v>
      </c>
      <c r="O238" s="92">
        <f>O233</f>
        <v>103250</v>
      </c>
      <c r="P238" s="79" t="str">
        <f>"(50)"</f>
        <v>(50)</v>
      </c>
    </row>
    <row r="239" spans="2:16" ht="18" customHeight="1" thickBot="1" x14ac:dyDescent="0.3">
      <c r="B239" s="777"/>
      <c r="C239" s="772"/>
      <c r="D239" s="772"/>
      <c r="E239" s="772"/>
      <c r="F239" s="772"/>
      <c r="G239" s="717"/>
      <c r="H239" s="159"/>
      <c r="I239" s="117">
        <f>SUM(K239+M239+O239)</f>
        <v>46036.7</v>
      </c>
      <c r="J239" s="118" t="str">
        <f>"(55)"</f>
        <v>(55)</v>
      </c>
      <c r="K239" s="85">
        <f>SUM(K234*1.2)</f>
        <v>0</v>
      </c>
      <c r="L239" s="86" t="str">
        <f>"(55)"</f>
        <v>(55)</v>
      </c>
      <c r="M239" s="117">
        <f>SUM(M234*1.22)</f>
        <v>27141.34</v>
      </c>
      <c r="N239" s="118" t="str">
        <f>"(55)"</f>
        <v>(55)</v>
      </c>
      <c r="O239" s="117">
        <f>SUM(O234*1.22)</f>
        <v>18895.36</v>
      </c>
      <c r="P239" s="88" t="str">
        <f>"(55)"</f>
        <v>(55)</v>
      </c>
    </row>
    <row r="240" spans="2:16" ht="17.25" x14ac:dyDescent="0.25">
      <c r="B240" s="774" t="str">
        <f>'kuni 2025 detsember tegevuskava'!A65&amp;"/"&amp;'kuni 2025 detsember tegevuskava'!C65</f>
        <v>SOM/TEHIK</v>
      </c>
      <c r="C240" s="770"/>
      <c r="D240" s="770" t="str">
        <f>'kuni 2025 detsember tegevuskava'!J65</f>
        <v>EST2EHDS</v>
      </c>
      <c r="E240" s="770"/>
      <c r="F240" s="770" t="str">
        <f>'kuni 2025 detsember tegevuskava'!P65&amp;"/"</f>
        <v>Muu rahastus/</v>
      </c>
      <c r="G240" s="716" cm="1">
        <f t="array" ref="G240">_xlfn.IFS('kuni 2025 detsember tegevuskava'!G65='kuni 2025 detsember tegevuskava'!$G$77,1,'kuni 2025 detsember tegevuskava'!G65='kuni 2025 detsember tegevuskava'!$G$78,2,'kuni 2025 detsember tegevuskava'!G65='kuni 2025 detsember tegevuskava'!$G$79,3,'kuni 2025 detsember tegevuskava'!G65='kuni 2025 detsember tegevuskava'!$G$80,4)</f>
        <v>4</v>
      </c>
      <c r="H240" s="160" cm="1">
        <f t="array" ref="H240">_xlfn.IFS(OR('kuni 2025 detsember tegevuskava'!P65='kuni 2025 detsember tegevuskava'!$P$77,'kuni 2025 detsember tegevuskava'!P65='kuni 2025 detsember tegevuskava'!$P$79,'kuni 2025 detsember tegevuskava'!P65='kuni 2025 detsember tegevuskava'!$P$80,'kuni 2025 detsember tegevuskava'!P65='kuni 2025 detsember tegevuskava'!$P$81),1,'kuni 2025 detsember tegevuskava'!P65='kuni 2025 detsember tegevuskava'!$P$82,2,'kuni 2025 detsember tegevuskava'!P65='kuni 2025 detsember tegevuskava'!$P$83,2,'kuni 2025 detsember tegevuskava'!P65='kuni 2025 detsember tegevuskava'!$P$78,3)</f>
        <v>3</v>
      </c>
      <c r="I240" s="119">
        <f>SUM(I241:I243)</f>
        <v>1362106.23</v>
      </c>
      <c r="J240" s="120"/>
      <c r="K240" s="73">
        <f>SUM(K241:K243)</f>
        <v>432000</v>
      </c>
      <c r="L240" s="75"/>
      <c r="M240" s="119">
        <f>SUM(M241:M243)</f>
        <v>683147.54</v>
      </c>
      <c r="N240" s="120"/>
      <c r="O240" s="73">
        <f>SUM(O241:O243)</f>
        <v>246958.69</v>
      </c>
      <c r="P240" s="77"/>
    </row>
    <row r="241" spans="2:16" ht="17.25" x14ac:dyDescent="0.25">
      <c r="B241" s="775"/>
      <c r="C241" s="771"/>
      <c r="D241" s="771"/>
      <c r="E241" s="771"/>
      <c r="F241" s="771"/>
      <c r="G241" s="715"/>
      <c r="H241" s="706"/>
      <c r="I241" s="92">
        <f>SUM(K241+M241+O241)</f>
        <v>731147.54</v>
      </c>
      <c r="J241" s="93" t="str">
        <f>"(15)"</f>
        <v>(15)</v>
      </c>
      <c r="K241" s="705">
        <f>'kuni 2025 detsember tegevuskava'!X65</f>
        <v>240000</v>
      </c>
      <c r="L241" s="702" t="str">
        <f>"(15)"</f>
        <v>(15)</v>
      </c>
      <c r="M241" s="92">
        <f>'kuni 2025 detsember tegevuskava'!AA65</f>
        <v>491147.54</v>
      </c>
      <c r="N241" s="93" t="str">
        <f>"(15)"</f>
        <v>(15)</v>
      </c>
      <c r="O241" s="705">
        <f>'kuni 2025 detsember tegevuskava'!AD65</f>
        <v>0</v>
      </c>
      <c r="P241" s="79" t="str">
        <f>"(15)"</f>
        <v>(15)</v>
      </c>
    </row>
    <row r="242" spans="2:16" ht="17.25" x14ac:dyDescent="0.25">
      <c r="B242" s="775"/>
      <c r="C242" s="771"/>
      <c r="D242" s="771"/>
      <c r="E242" s="771"/>
      <c r="F242" s="771"/>
      <c r="G242" s="715"/>
      <c r="H242" s="706"/>
      <c r="I242" s="92">
        <f>SUM(K242+M242+O242)</f>
        <v>528000</v>
      </c>
      <c r="J242" s="93" t="str">
        <f>"(50)"</f>
        <v>(50)</v>
      </c>
      <c r="K242" s="705">
        <f>'kuni 2025 detsember tegevuskava'!Y65</f>
        <v>192000</v>
      </c>
      <c r="L242" s="702" t="str">
        <f>"(50)"</f>
        <v>(50)</v>
      </c>
      <c r="M242" s="92">
        <f>'kuni 2025 detsember tegevuskava'!AB65</f>
        <v>192000</v>
      </c>
      <c r="N242" s="93" t="str">
        <f>"(50)"</f>
        <v>(50)</v>
      </c>
      <c r="O242" s="705">
        <f>'kuni 2025 detsember tegevuskava'!AE65</f>
        <v>144000</v>
      </c>
      <c r="P242" s="79" t="str">
        <f>"(50)"</f>
        <v>(50)</v>
      </c>
    </row>
    <row r="243" spans="2:16" ht="17.25" x14ac:dyDescent="0.25">
      <c r="B243" s="775"/>
      <c r="C243" s="771"/>
      <c r="D243" s="771"/>
      <c r="E243" s="771"/>
      <c r="F243" s="771"/>
      <c r="G243" s="715"/>
      <c r="H243" s="706"/>
      <c r="I243" s="92">
        <f>SUM(K243+M243+O243)</f>
        <v>102958.69</v>
      </c>
      <c r="J243" s="93" t="str">
        <f>"(55)"</f>
        <v>(55)</v>
      </c>
      <c r="K243" s="89">
        <f>'kuni 2025 detsember tegevuskava'!Z73</f>
        <v>0</v>
      </c>
      <c r="L243" s="702" t="str">
        <f>"(55)"</f>
        <v>(55)</v>
      </c>
      <c r="M243" s="94">
        <f>'kuni 2025 detsember tegevuskava'!AC65</f>
        <v>0</v>
      </c>
      <c r="N243" s="93" t="str">
        <f>"(55)"</f>
        <v>(55)</v>
      </c>
      <c r="O243" s="89">
        <f>'kuni 2025 detsember tegevuskava'!AF65</f>
        <v>102958.69</v>
      </c>
      <c r="P243" s="79" t="str">
        <f>"(55)"</f>
        <v>(55)</v>
      </c>
    </row>
    <row r="244" spans="2:16" ht="17.25" x14ac:dyDescent="0.25">
      <c r="B244" s="775"/>
      <c r="C244" s="771"/>
      <c r="D244" s="771"/>
      <c r="E244" s="771"/>
      <c r="F244" s="771"/>
      <c r="G244" s="715"/>
      <c r="H244" s="706"/>
      <c r="I244" s="155" t="s">
        <v>562</v>
      </c>
      <c r="J244" s="161"/>
      <c r="K244" s="161"/>
      <c r="L244" s="161"/>
      <c r="M244" s="161"/>
      <c r="N244" s="161"/>
      <c r="O244" s="161"/>
      <c r="P244" s="162"/>
    </row>
    <row r="245" spans="2:16" ht="17.25" x14ac:dyDescent="0.25">
      <c r="B245" s="775"/>
      <c r="C245" s="771"/>
      <c r="D245" s="771"/>
      <c r="E245" s="771"/>
      <c r="F245" s="771"/>
      <c r="G245" s="715"/>
      <c r="H245" s="706"/>
      <c r="I245" s="153">
        <f>SUM(I246:I248)</f>
        <v>1540809.6006</v>
      </c>
      <c r="J245" s="93"/>
      <c r="K245" s="703">
        <f>SUM(K246:K248)</f>
        <v>480000</v>
      </c>
      <c r="L245" s="704"/>
      <c r="M245" s="153">
        <f>SUM(M246:M248)</f>
        <v>791199.99879999994</v>
      </c>
      <c r="N245" s="146"/>
      <c r="O245" s="153">
        <f>SUM(O246:O248)</f>
        <v>269609.6018</v>
      </c>
      <c r="P245" s="64"/>
    </row>
    <row r="246" spans="2:16" ht="17.25" x14ac:dyDescent="0.25">
      <c r="B246" s="775"/>
      <c r="C246" s="771"/>
      <c r="D246" s="771"/>
      <c r="E246" s="771"/>
      <c r="F246" s="771"/>
      <c r="G246" s="715"/>
      <c r="H246" s="706"/>
      <c r="I246" s="92">
        <f>SUM(K246+M246+O246)</f>
        <v>887199.99879999994</v>
      </c>
      <c r="J246" s="93" t="str">
        <f>"(15)"</f>
        <v>(15)</v>
      </c>
      <c r="K246" s="705">
        <f>SUM(K241*1.2)</f>
        <v>288000</v>
      </c>
      <c r="L246" s="702" t="str">
        <f>"(15)"</f>
        <v>(15)</v>
      </c>
      <c r="M246" s="92">
        <f>SUM(M241*1.22)</f>
        <v>599199.99879999994</v>
      </c>
      <c r="N246" s="93" t="str">
        <f>"(15)"</f>
        <v>(15)</v>
      </c>
      <c r="O246" s="92">
        <f>SUM(O241*1.22)</f>
        <v>0</v>
      </c>
      <c r="P246" s="79" t="str">
        <f>"(15)"</f>
        <v>(15)</v>
      </c>
    </row>
    <row r="247" spans="2:16" ht="17.25" x14ac:dyDescent="0.25">
      <c r="B247" s="775"/>
      <c r="C247" s="771"/>
      <c r="D247" s="771"/>
      <c r="E247" s="771"/>
      <c r="F247" s="771"/>
      <c r="G247" s="715"/>
      <c r="H247" s="706"/>
      <c r="I247" s="92">
        <f>SUM(K247+M247+O247)</f>
        <v>528000</v>
      </c>
      <c r="J247" s="93" t="str">
        <f>"(50)"</f>
        <v>(50)</v>
      </c>
      <c r="K247" s="705">
        <f>K242</f>
        <v>192000</v>
      </c>
      <c r="L247" s="702" t="str">
        <f>"(50)"</f>
        <v>(50)</v>
      </c>
      <c r="M247" s="92">
        <f>M242</f>
        <v>192000</v>
      </c>
      <c r="N247" s="93" t="str">
        <f>"(50)"</f>
        <v>(50)</v>
      </c>
      <c r="O247" s="92">
        <f>O242</f>
        <v>144000</v>
      </c>
      <c r="P247" s="79" t="str">
        <f>"(50)"</f>
        <v>(50)</v>
      </c>
    </row>
    <row r="248" spans="2:16" ht="18" thickBot="1" x14ac:dyDescent="0.3">
      <c r="B248" s="777"/>
      <c r="C248" s="772"/>
      <c r="D248" s="772"/>
      <c r="E248" s="772"/>
      <c r="F248" s="772"/>
      <c r="G248" s="717"/>
      <c r="H248" s="159"/>
      <c r="I248" s="117">
        <f>SUM(K248+M248+O248)</f>
        <v>125609.6018</v>
      </c>
      <c r="J248" s="118" t="str">
        <f>"(55)"</f>
        <v>(55)</v>
      </c>
      <c r="K248" s="85">
        <f>SUM(K243*1.2)</f>
        <v>0</v>
      </c>
      <c r="L248" s="86" t="str">
        <f>"(55)"</f>
        <v>(55)</v>
      </c>
      <c r="M248" s="117">
        <f>SUM(M243*1.22)</f>
        <v>0</v>
      </c>
      <c r="N248" s="118" t="str">
        <f>"(55)"</f>
        <v>(55)</v>
      </c>
      <c r="O248" s="117">
        <f>SUM(O243*1.22)</f>
        <v>125609.6018</v>
      </c>
      <c r="P248" s="88" t="str">
        <f>"(55)"</f>
        <v>(55)</v>
      </c>
    </row>
    <row r="249" spans="2:16" ht="17.25" x14ac:dyDescent="0.25">
      <c r="B249" s="774" t="str">
        <f>'kuni 2025 detsember tegevuskava'!A66&amp;"/"&amp;'kuni 2025 detsember tegevuskava'!C66</f>
        <v>SOM/TEHIK</v>
      </c>
      <c r="C249" s="770"/>
      <c r="D249" s="770" t="str">
        <f>'kuni 2025 detsember tegevuskava'!J66</f>
        <v>EST-2-MyHealth</v>
      </c>
      <c r="E249" s="770"/>
      <c r="F249" s="770" t="str">
        <f>'kuni 2025 detsember tegevuskava'!P66&amp;"/"</f>
        <v>Muu rahastus/</v>
      </c>
      <c r="G249" s="716" cm="1">
        <f t="array" ref="G249">_xlfn.IFS('kuni 2025 detsember tegevuskava'!G66='kuni 2025 detsember tegevuskava'!$G$77,1,'kuni 2025 detsember tegevuskava'!G66='kuni 2025 detsember tegevuskava'!$G$78,2,'kuni 2025 detsember tegevuskava'!G66='kuni 2025 detsember tegevuskava'!$G$79,3,'kuni 2025 detsember tegevuskava'!G66='kuni 2025 detsember tegevuskava'!$G$80,4)</f>
        <v>4</v>
      </c>
      <c r="H249" s="160" cm="1">
        <f t="array" ref="H249">_xlfn.IFS(OR('kuni 2025 detsember tegevuskava'!P66='kuni 2025 detsember tegevuskava'!$P$77,'kuni 2025 detsember tegevuskava'!P66='kuni 2025 detsember tegevuskava'!$P$79,'kuni 2025 detsember tegevuskava'!P66='kuni 2025 detsember tegevuskava'!$P$80,'kuni 2025 detsember tegevuskava'!P66='kuni 2025 detsember tegevuskava'!$P$81),1,'kuni 2025 detsember tegevuskava'!P66='kuni 2025 detsember tegevuskava'!$P$82,2,'kuni 2025 detsember tegevuskava'!P66='kuni 2025 detsember tegevuskava'!$P$83,2,'kuni 2025 detsember tegevuskava'!P66='kuni 2025 detsember tegevuskava'!$P$78,3)</f>
        <v>3</v>
      </c>
      <c r="I249" s="119">
        <f>SUM(I250:I251)</f>
        <v>738343.72</v>
      </c>
      <c r="J249" s="120"/>
      <c r="K249" s="73">
        <f>SUM(K250:K251)</f>
        <v>0</v>
      </c>
      <c r="L249" s="75"/>
      <c r="M249" s="119">
        <f>SUM(M250:M251)</f>
        <v>454233.5</v>
      </c>
      <c r="N249" s="120"/>
      <c r="O249" s="73">
        <f>SUM(O250:O251)</f>
        <v>284110.21999999997</v>
      </c>
      <c r="P249" s="77"/>
    </row>
    <row r="250" spans="2:16" ht="17.25" x14ac:dyDescent="0.25">
      <c r="B250" s="775"/>
      <c r="C250" s="771"/>
      <c r="D250" s="771"/>
      <c r="E250" s="771"/>
      <c r="F250" s="771"/>
      <c r="G250" s="715"/>
      <c r="H250" s="706"/>
      <c r="I250" s="92">
        <f>SUM(K250+M250+O250)</f>
        <v>565723.72</v>
      </c>
      <c r="J250" s="93" t="str">
        <f>"(15)"</f>
        <v>(15)</v>
      </c>
      <c r="K250" s="705">
        <f>'kuni 2025 detsember tegevuskava'!X66</f>
        <v>0</v>
      </c>
      <c r="L250" s="702" t="str">
        <f>"(15)"</f>
        <v>(15)</v>
      </c>
      <c r="M250" s="92">
        <f>'kuni 2025 detsember tegevuskava'!AA66</f>
        <v>367923.5</v>
      </c>
      <c r="N250" s="93" t="str">
        <f>"(15)"</f>
        <v>(15)</v>
      </c>
      <c r="O250" s="705">
        <f>'kuni 2025 detsember tegevuskava'!AD66</f>
        <v>197800.22</v>
      </c>
      <c r="P250" s="79" t="str">
        <f>"(15)"</f>
        <v>(15)</v>
      </c>
    </row>
    <row r="251" spans="2:16" ht="17.25" x14ac:dyDescent="0.25">
      <c r="B251" s="775"/>
      <c r="C251" s="771"/>
      <c r="D251" s="771"/>
      <c r="E251" s="771"/>
      <c r="F251" s="771"/>
      <c r="G251" s="715"/>
      <c r="H251" s="706"/>
      <c r="I251" s="92">
        <f>SUM(K251+M251+O251)</f>
        <v>172620</v>
      </c>
      <c r="J251" s="93" t="str">
        <f>"(50)"</f>
        <v>(50)</v>
      </c>
      <c r="K251" s="705">
        <f>'kuni 2025 detsember tegevuskava'!Y66</f>
        <v>0</v>
      </c>
      <c r="L251" s="702" t="str">
        <f>"(50)"</f>
        <v>(50)</v>
      </c>
      <c r="M251" s="92">
        <f>'kuni 2025 detsember tegevuskava'!AB66</f>
        <v>86310</v>
      </c>
      <c r="N251" s="93" t="str">
        <f>"(50)"</f>
        <v>(50)</v>
      </c>
      <c r="O251" s="705">
        <f>'kuni 2025 detsember tegevuskava'!AE66</f>
        <v>86310</v>
      </c>
      <c r="P251" s="79" t="str">
        <f>"(50)"</f>
        <v>(50)</v>
      </c>
    </row>
    <row r="252" spans="2:16" ht="17.25" x14ac:dyDescent="0.25">
      <c r="B252" s="775"/>
      <c r="C252" s="771"/>
      <c r="D252" s="771"/>
      <c r="E252" s="771"/>
      <c r="F252" s="771"/>
      <c r="G252" s="715"/>
      <c r="H252" s="706"/>
      <c r="I252" s="155" t="s">
        <v>562</v>
      </c>
      <c r="J252" s="161"/>
      <c r="K252" s="161"/>
      <c r="L252" s="161"/>
      <c r="M252" s="161"/>
      <c r="N252" s="161"/>
      <c r="O252" s="161"/>
      <c r="P252" s="162"/>
    </row>
    <row r="253" spans="2:16" ht="17.25" x14ac:dyDescent="0.25">
      <c r="B253" s="775"/>
      <c r="C253" s="771"/>
      <c r="D253" s="771"/>
      <c r="E253" s="771"/>
      <c r="F253" s="771"/>
      <c r="G253" s="715"/>
      <c r="H253" s="706"/>
      <c r="I253" s="153">
        <f>SUM(I254:I255)</f>
        <v>862802.93839999998</v>
      </c>
      <c r="J253" s="93"/>
      <c r="K253" s="703">
        <f>SUM(K254:K255)</f>
        <v>0</v>
      </c>
      <c r="L253" s="704"/>
      <c r="M253" s="153">
        <f>SUM(M254:M255)</f>
        <v>535176.66999999993</v>
      </c>
      <c r="N253" s="146"/>
      <c r="O253" s="153">
        <f>SUM(O254:O255)</f>
        <v>327626.2684</v>
      </c>
      <c r="P253" s="64"/>
    </row>
    <row r="254" spans="2:16" ht="17.25" x14ac:dyDescent="0.25">
      <c r="B254" s="775"/>
      <c r="C254" s="771"/>
      <c r="D254" s="771"/>
      <c r="E254" s="771"/>
      <c r="F254" s="771"/>
      <c r="G254" s="715"/>
      <c r="H254" s="706"/>
      <c r="I254" s="92">
        <f>SUM(K254+M254+O254)</f>
        <v>690182.93839999998</v>
      </c>
      <c r="J254" s="93" t="str">
        <f>"(15)"</f>
        <v>(15)</v>
      </c>
      <c r="K254" s="705">
        <f>SUM(K250*1.2)</f>
        <v>0</v>
      </c>
      <c r="L254" s="702" t="str">
        <f>"(15)"</f>
        <v>(15)</v>
      </c>
      <c r="M254" s="92">
        <f>SUM(M250*1.22)</f>
        <v>448866.67</v>
      </c>
      <c r="N254" s="93" t="str">
        <f>"(15)"</f>
        <v>(15)</v>
      </c>
      <c r="O254" s="92">
        <f>SUM(O250*1.22)</f>
        <v>241316.2684</v>
      </c>
      <c r="P254" s="79" t="str">
        <f>"(15)"</f>
        <v>(15)</v>
      </c>
    </row>
    <row r="255" spans="2:16" ht="18" thickBot="1" x14ac:dyDescent="0.3">
      <c r="B255" s="777"/>
      <c r="C255" s="772"/>
      <c r="D255" s="772"/>
      <c r="E255" s="772"/>
      <c r="F255" s="772"/>
      <c r="G255" s="717"/>
      <c r="H255" s="159"/>
      <c r="I255" s="117">
        <f>SUM(K255+M255+O255)</f>
        <v>172620</v>
      </c>
      <c r="J255" s="118" t="str">
        <f>"(50)"</f>
        <v>(50)</v>
      </c>
      <c r="K255" s="85">
        <f>K251</f>
        <v>0</v>
      </c>
      <c r="L255" s="86" t="str">
        <f>"(50)"</f>
        <v>(50)</v>
      </c>
      <c r="M255" s="117">
        <f>M251</f>
        <v>86310</v>
      </c>
      <c r="N255" s="118" t="str">
        <f>"(50)"</f>
        <v>(50)</v>
      </c>
      <c r="O255" s="117">
        <f>O251</f>
        <v>86310</v>
      </c>
      <c r="P255" s="88" t="str">
        <f>"(50)"</f>
        <v>(50)</v>
      </c>
    </row>
    <row r="256" spans="2:16" ht="17.25" x14ac:dyDescent="0.25">
      <c r="B256" s="774" t="str">
        <f>'kuni 2025 detsember tegevuskava'!A67&amp;"/"&amp;'kuni 2025 detsember tegevuskava'!C67</f>
        <v>SOM/TEHIK</v>
      </c>
      <c r="C256" s="770"/>
      <c r="D256" s="770" t="str">
        <f>'kuni 2025 detsember tegevuskava'!J67</f>
        <v>Xt-EHR</v>
      </c>
      <c r="E256" s="770"/>
      <c r="F256" s="770" t="str">
        <f>'kuni 2025 detsember tegevuskava'!P67&amp;"/"</f>
        <v>Muu rahastus/</v>
      </c>
      <c r="G256" s="716" cm="1">
        <f t="array" ref="G256">_xlfn.IFS('kuni 2025 detsember tegevuskava'!G67='kuni 2025 detsember tegevuskava'!$G$77,1,'kuni 2025 detsember tegevuskava'!G67='kuni 2025 detsember tegevuskava'!$G$78,2,'kuni 2025 detsember tegevuskava'!G67='kuni 2025 detsember tegevuskava'!$G$79,3,'kuni 2025 detsember tegevuskava'!G67='kuni 2025 detsember tegevuskava'!$G$80,4)</f>
        <v>4</v>
      </c>
      <c r="H256" s="160" cm="1">
        <f t="array" ref="H256">_xlfn.IFS(OR('kuni 2025 detsember tegevuskava'!P67='kuni 2025 detsember tegevuskava'!$P$77,'kuni 2025 detsember tegevuskava'!P67='kuni 2025 detsember tegevuskava'!$P$79,'kuni 2025 detsember tegevuskava'!P67='kuni 2025 detsember tegevuskava'!$P$80,'kuni 2025 detsember tegevuskava'!P67='kuni 2025 detsember tegevuskava'!$P$81),1,'kuni 2025 detsember tegevuskava'!P67='kuni 2025 detsember tegevuskava'!$P$82,2,'kuni 2025 detsember tegevuskava'!P67='kuni 2025 detsember tegevuskava'!$P$83,2,'kuni 2025 detsember tegevuskava'!P67='kuni 2025 detsember tegevuskava'!$P$78,3)</f>
        <v>3</v>
      </c>
      <c r="I256" s="119">
        <f>SUM(I257:I258)</f>
        <v>57914</v>
      </c>
      <c r="J256" s="120"/>
      <c r="K256" s="73">
        <f>SUM(K257:K258)</f>
        <v>0</v>
      </c>
      <c r="L256" s="75"/>
      <c r="M256" s="119">
        <f>SUM(M257:M258)</f>
        <v>28646</v>
      </c>
      <c r="N256" s="120"/>
      <c r="O256" s="73">
        <f>SUM(O257:O258)</f>
        <v>29268</v>
      </c>
      <c r="P256" s="77"/>
    </row>
    <row r="257" spans="2:16" ht="17.25" x14ac:dyDescent="0.25">
      <c r="B257" s="775"/>
      <c r="C257" s="771"/>
      <c r="D257" s="771"/>
      <c r="E257" s="771"/>
      <c r="F257" s="771"/>
      <c r="G257" s="715"/>
      <c r="H257" s="706"/>
      <c r="I257" s="92">
        <f>SUM(K257+M257+O257)</f>
        <v>57292</v>
      </c>
      <c r="J257" s="93" t="str">
        <f>"(50)"</f>
        <v>(50)</v>
      </c>
      <c r="K257" s="705">
        <f>'kuni 2025 detsember tegevuskava'!Y67</f>
        <v>0</v>
      </c>
      <c r="L257" s="702" t="str">
        <f>"(50)"</f>
        <v>(50)</v>
      </c>
      <c r="M257" s="92">
        <f>'kuni 2025 detsember tegevuskava'!AB67</f>
        <v>28646</v>
      </c>
      <c r="N257" s="93" t="str">
        <f>"(50)"</f>
        <v>(50)</v>
      </c>
      <c r="O257" s="705">
        <f>'kuni 2025 detsember tegevuskava'!AE67</f>
        <v>28646</v>
      </c>
      <c r="P257" s="79" t="str">
        <f>"(50)"</f>
        <v>(50)</v>
      </c>
    </row>
    <row r="258" spans="2:16" ht="17.25" x14ac:dyDescent="0.25">
      <c r="B258" s="775"/>
      <c r="C258" s="771"/>
      <c r="D258" s="771"/>
      <c r="E258" s="771"/>
      <c r="F258" s="771"/>
      <c r="G258" s="715"/>
      <c r="H258" s="706"/>
      <c r="I258" s="92">
        <f>SUM(K258+M258+O258)</f>
        <v>622</v>
      </c>
      <c r="J258" s="93" t="str">
        <f>"(55)"</f>
        <v>(55)</v>
      </c>
      <c r="K258" s="89">
        <f>'kuni 2025 detsember tegevuskava'!Z67</f>
        <v>0</v>
      </c>
      <c r="L258" s="702" t="str">
        <f>"(55)"</f>
        <v>(55)</v>
      </c>
      <c r="M258" s="94">
        <f>'kuni 2025 detsember tegevuskava'!AC67</f>
        <v>0</v>
      </c>
      <c r="N258" s="93" t="str">
        <f>"(55)"</f>
        <v>(55)</v>
      </c>
      <c r="O258" s="89">
        <f>'kuni 2025 detsember tegevuskava'!AF67</f>
        <v>622</v>
      </c>
      <c r="P258" s="79" t="str">
        <f>"(55)"</f>
        <v>(55)</v>
      </c>
    </row>
    <row r="259" spans="2:16" ht="17.25" x14ac:dyDescent="0.25">
      <c r="B259" s="775"/>
      <c r="C259" s="771"/>
      <c r="D259" s="771"/>
      <c r="E259" s="771"/>
      <c r="F259" s="771"/>
      <c r="G259" s="715"/>
      <c r="H259" s="706"/>
      <c r="I259" s="155" t="s">
        <v>562</v>
      </c>
      <c r="J259" s="161"/>
      <c r="K259" s="161"/>
      <c r="L259" s="161"/>
      <c r="M259" s="161"/>
      <c r="N259" s="161"/>
      <c r="O259" s="161"/>
      <c r="P259" s="162"/>
    </row>
    <row r="260" spans="2:16" ht="17.25" x14ac:dyDescent="0.25">
      <c r="B260" s="775"/>
      <c r="C260" s="771"/>
      <c r="D260" s="771"/>
      <c r="E260" s="771"/>
      <c r="F260" s="771"/>
      <c r="G260" s="715"/>
      <c r="H260" s="706"/>
      <c r="I260" s="153">
        <f>SUM(I261:I262)</f>
        <v>58050.84</v>
      </c>
      <c r="J260" s="93"/>
      <c r="K260" s="703">
        <f>SUM(K261:K262)</f>
        <v>0</v>
      </c>
      <c r="L260" s="704"/>
      <c r="M260" s="153">
        <f>SUM(M261:M262)</f>
        <v>28646</v>
      </c>
      <c r="N260" s="146"/>
      <c r="O260" s="153">
        <f>SUM(O261:O262)</f>
        <v>29404.84</v>
      </c>
      <c r="P260" s="64"/>
    </row>
    <row r="261" spans="2:16" ht="17.25" x14ac:dyDescent="0.25">
      <c r="B261" s="775"/>
      <c r="C261" s="771"/>
      <c r="D261" s="771"/>
      <c r="E261" s="771"/>
      <c r="F261" s="771"/>
      <c r="G261" s="715"/>
      <c r="H261" s="706"/>
      <c r="I261" s="92">
        <f>SUM(K261+M261+O261)</f>
        <v>57292</v>
      </c>
      <c r="J261" s="93" t="str">
        <f>"(50)"</f>
        <v>(50)</v>
      </c>
      <c r="K261" s="705">
        <f>K257</f>
        <v>0</v>
      </c>
      <c r="L261" s="702" t="str">
        <f>"(50)"</f>
        <v>(50)</v>
      </c>
      <c r="M261" s="92">
        <f>M257</f>
        <v>28646</v>
      </c>
      <c r="N261" s="93" t="str">
        <f>"(50)"</f>
        <v>(50)</v>
      </c>
      <c r="O261" s="92">
        <f>O257</f>
        <v>28646</v>
      </c>
      <c r="P261" s="79" t="str">
        <f>"(50)"</f>
        <v>(50)</v>
      </c>
    </row>
    <row r="262" spans="2:16" ht="18" thickBot="1" x14ac:dyDescent="0.3">
      <c r="B262" s="777"/>
      <c r="C262" s="772"/>
      <c r="D262" s="772"/>
      <c r="E262" s="772"/>
      <c r="F262" s="772"/>
      <c r="G262" s="717"/>
      <c r="H262" s="159"/>
      <c r="I262" s="117">
        <f>SUM(K262+M262+O262)</f>
        <v>758.84</v>
      </c>
      <c r="J262" s="118" t="str">
        <f>"(55)"</f>
        <v>(55)</v>
      </c>
      <c r="K262" s="85">
        <f>SUM(K258*1.2)</f>
        <v>0</v>
      </c>
      <c r="L262" s="86" t="str">
        <f>"(55)"</f>
        <v>(55)</v>
      </c>
      <c r="M262" s="117">
        <f>SUM(M258*1.22)</f>
        <v>0</v>
      </c>
      <c r="N262" s="118" t="str">
        <f>"(55)"</f>
        <v>(55)</v>
      </c>
      <c r="O262" s="117">
        <f>SUM(O258*1.22)</f>
        <v>758.84</v>
      </c>
      <c r="P262" s="88" t="str">
        <f>"(55)"</f>
        <v>(55)</v>
      </c>
    </row>
    <row r="263" spans="2:16" ht="17.25" x14ac:dyDescent="0.25">
      <c r="B263" s="774" t="str">
        <f>'kuni 2025 detsember tegevuskava'!A68&amp;"/"&amp;'kuni 2025 detsember tegevuskava'!C68</f>
        <v>SOM/TEHIK</v>
      </c>
      <c r="C263" s="770" t="str">
        <f>'kuni 2025 detsember tegevuskava'!I68</f>
        <v>Küberrünnete arv on pidevas kasvamises, kahe aastaga on kasv olnud pea 4 korda. Aastas on 54 miljonit turvasündmust, mille tõkestamisega infoturbeosakond tegeleb,. EITS standardi kohaselt üleminekul protsessipõhisele riskiohjele on toonud kaasa oluliselt laiema ja terviklikuma turbe vaate, kus kogu organisatsiooni on hõlmatud, võrreldes varasema andmekogu põhise turbemetoodikaga (ISKE). TEHIK-u hallata on 35 andmekogu, mille abil töödeldakse isikuandmeid, sh vahetatakse andmeid nii siseriiklike kui EL osapooltega. Andmete kaitseks näevad EL ja ISKE/EITS nõuded ette seire turberikkumiste tuvastamiseks. Arvestades pidevat küberrünnete kasvu on vajalik teha täiendavaid samme turvalisuse tagamiseks.</v>
      </c>
      <c r="D263" s="770" t="str">
        <f>'kuni 2025 detsember tegevuskava'!J68</f>
        <v>Küberturvalisuse tagamise võimekuse säilitamine</v>
      </c>
      <c r="E263" s="770" t="str">
        <f>'kuni 2025 detsember tegevuskava'!K68</f>
        <v>Tagatud on võimekus reageerida rünnetele, analüüsida ja hallata riske</v>
      </c>
      <c r="F263" s="770" t="str">
        <f>'kuni 2025 detsember tegevuskava'!P68&amp;"/"</f>
        <v>RES IKT (vaja juurde taotleda)/</v>
      </c>
      <c r="G263" s="716" cm="1">
        <f t="array" ref="G263">_xlfn.IFS('kuni 2025 detsember tegevuskava'!G68='kuni 2025 detsember tegevuskava'!$G$77,1,'kuni 2025 detsember tegevuskava'!G68='kuni 2025 detsember tegevuskava'!$G$78,2,'kuni 2025 detsember tegevuskava'!G68='kuni 2025 detsember tegevuskava'!$G$79,3,'kuni 2025 detsember tegevuskava'!G68='kuni 2025 detsember tegevuskava'!$G$80,4)</f>
        <v>2</v>
      </c>
      <c r="H263" s="160" cm="1">
        <f t="array" ref="H263">_xlfn.IFS(OR('kuni 2025 detsember tegevuskava'!P68='kuni 2025 detsember tegevuskava'!$P$77,'kuni 2025 detsember tegevuskava'!P68='kuni 2025 detsember tegevuskava'!$P$79,'kuni 2025 detsember tegevuskava'!P68='kuni 2025 detsember tegevuskava'!$P$80,'kuni 2025 detsember tegevuskava'!P68='kuni 2025 detsember tegevuskava'!$P$81),1,'kuni 2025 detsember tegevuskava'!P68='kuni 2025 detsember tegevuskava'!$P$82,2,'kuni 2025 detsember tegevuskava'!P68='kuni 2025 detsember tegevuskava'!$P$83,2,'kuni 2025 detsember tegevuskava'!P68='kuni 2025 detsember tegevuskava'!$P$78,3)</f>
        <v>1</v>
      </c>
      <c r="I263" s="119">
        <f>SUM(I264:I265)</f>
        <v>165700</v>
      </c>
      <c r="J263" s="120"/>
      <c r="K263" s="73">
        <f>SUM(K264:K265)</f>
        <v>0</v>
      </c>
      <c r="L263" s="75"/>
      <c r="M263" s="119">
        <f>SUM(M264:M265)</f>
        <v>0</v>
      </c>
      <c r="N263" s="120"/>
      <c r="O263" s="73">
        <f>SUM(O264:O265)</f>
        <v>165700</v>
      </c>
      <c r="P263" s="77"/>
    </row>
    <row r="264" spans="2:16" ht="17.25" x14ac:dyDescent="0.25">
      <c r="B264" s="775"/>
      <c r="C264" s="771"/>
      <c r="D264" s="771"/>
      <c r="E264" s="771"/>
      <c r="F264" s="771"/>
      <c r="G264" s="715"/>
      <c r="H264" s="706"/>
      <c r="I264" s="92">
        <f>SUM(K264+M264+O264)</f>
        <v>161800</v>
      </c>
      <c r="J264" s="93" t="str">
        <f>"(50)"</f>
        <v>(50)</v>
      </c>
      <c r="K264" s="705">
        <f>'kuni 2025 detsember tegevuskava'!Y68</f>
        <v>0</v>
      </c>
      <c r="L264" s="702" t="str">
        <f>"(50)"</f>
        <v>(50)</v>
      </c>
      <c r="M264" s="92">
        <f>'kuni 2025 detsember tegevuskava'!AB68</f>
        <v>0</v>
      </c>
      <c r="N264" s="93" t="str">
        <f>"(50)"</f>
        <v>(50)</v>
      </c>
      <c r="O264" s="705">
        <f>'kuni 2025 detsember tegevuskava'!AE68</f>
        <v>161800</v>
      </c>
      <c r="P264" s="79" t="str">
        <f>"(50)"</f>
        <v>(50)</v>
      </c>
    </row>
    <row r="265" spans="2:16" ht="17.25" x14ac:dyDescent="0.25">
      <c r="B265" s="775"/>
      <c r="C265" s="771"/>
      <c r="D265" s="771"/>
      <c r="E265" s="771"/>
      <c r="F265" s="771"/>
      <c r="G265" s="715"/>
      <c r="H265" s="706"/>
      <c r="I265" s="92">
        <f>SUM(K265+M265+O265)</f>
        <v>3900</v>
      </c>
      <c r="J265" s="93" t="str">
        <f>"(55)"</f>
        <v>(55)</v>
      </c>
      <c r="K265" s="89">
        <f>'kuni 2025 detsember tegevuskava'!Z68</f>
        <v>0</v>
      </c>
      <c r="L265" s="702" t="str">
        <f>"(55)"</f>
        <v>(55)</v>
      </c>
      <c r="M265" s="94">
        <f>'kuni 2025 detsember tegevuskava'!AC68</f>
        <v>0</v>
      </c>
      <c r="N265" s="93" t="str">
        <f>"(55)"</f>
        <v>(55)</v>
      </c>
      <c r="O265" s="89">
        <f>'kuni 2025 detsember tegevuskava'!AF68</f>
        <v>3900</v>
      </c>
      <c r="P265" s="79" t="str">
        <f>"(55)"</f>
        <v>(55)</v>
      </c>
    </row>
    <row r="266" spans="2:16" ht="17.25" x14ac:dyDescent="0.25">
      <c r="B266" s="775"/>
      <c r="C266" s="771"/>
      <c r="D266" s="771"/>
      <c r="E266" s="771"/>
      <c r="F266" s="771"/>
      <c r="G266" s="715"/>
      <c r="H266" s="706"/>
      <c r="I266" s="155" t="s">
        <v>562</v>
      </c>
      <c r="J266" s="161"/>
      <c r="K266" s="161"/>
      <c r="L266" s="161"/>
      <c r="M266" s="161"/>
      <c r="N266" s="161"/>
      <c r="O266" s="161"/>
      <c r="P266" s="162"/>
    </row>
    <row r="267" spans="2:16" ht="17.25" x14ac:dyDescent="0.25">
      <c r="B267" s="775"/>
      <c r="C267" s="771"/>
      <c r="D267" s="771"/>
      <c r="E267" s="771"/>
      <c r="F267" s="771"/>
      <c r="G267" s="715"/>
      <c r="H267" s="706"/>
      <c r="I267" s="153">
        <f>SUM(I268:I269)</f>
        <v>166558</v>
      </c>
      <c r="J267" s="93"/>
      <c r="K267" s="703">
        <f>SUM(K268:K269)</f>
        <v>0</v>
      </c>
      <c r="L267" s="704"/>
      <c r="M267" s="153">
        <f>SUM(M268:M269)</f>
        <v>0</v>
      </c>
      <c r="N267" s="146"/>
      <c r="O267" s="153">
        <f>SUM(O268:O269)</f>
        <v>166558</v>
      </c>
      <c r="P267" s="64"/>
    </row>
    <row r="268" spans="2:16" ht="17.25" x14ac:dyDescent="0.25">
      <c r="B268" s="775"/>
      <c r="C268" s="771"/>
      <c r="D268" s="771"/>
      <c r="E268" s="771"/>
      <c r="F268" s="771"/>
      <c r="G268" s="715"/>
      <c r="H268" s="706"/>
      <c r="I268" s="92">
        <f>SUM(K268+M268+O268)</f>
        <v>161800</v>
      </c>
      <c r="J268" s="93" t="str">
        <f>"(50)"</f>
        <v>(50)</v>
      </c>
      <c r="K268" s="705">
        <f>K264</f>
        <v>0</v>
      </c>
      <c r="L268" s="702" t="str">
        <f>"(50)"</f>
        <v>(50)</v>
      </c>
      <c r="M268" s="92">
        <f>M264</f>
        <v>0</v>
      </c>
      <c r="N268" s="93" t="str">
        <f>"(50)"</f>
        <v>(50)</v>
      </c>
      <c r="O268" s="92">
        <f>O264</f>
        <v>161800</v>
      </c>
      <c r="P268" s="79" t="str">
        <f>"(50)"</f>
        <v>(50)</v>
      </c>
    </row>
    <row r="269" spans="2:16" ht="177.75" customHeight="1" thickBot="1" x14ac:dyDescent="0.3">
      <c r="B269" s="777"/>
      <c r="C269" s="772"/>
      <c r="D269" s="772"/>
      <c r="E269" s="772"/>
      <c r="F269" s="772"/>
      <c r="G269" s="717"/>
      <c r="H269" s="159"/>
      <c r="I269" s="117">
        <f>SUM(K269+M269+O269)</f>
        <v>4758</v>
      </c>
      <c r="J269" s="118" t="str">
        <f>"(55)"</f>
        <v>(55)</v>
      </c>
      <c r="K269" s="85">
        <f>SUM(K265*1.2)</f>
        <v>0</v>
      </c>
      <c r="L269" s="86" t="str">
        <f>"(55)"</f>
        <v>(55)</v>
      </c>
      <c r="M269" s="117">
        <f>SUM(M265*1.22)</f>
        <v>0</v>
      </c>
      <c r="N269" s="118" t="str">
        <f>"(55)"</f>
        <v>(55)</v>
      </c>
      <c r="O269" s="117">
        <f>SUM(O265*1.22)</f>
        <v>4758</v>
      </c>
      <c r="P269" s="88" t="str">
        <f>"(55)"</f>
        <v>(55)</v>
      </c>
    </row>
    <row r="270" spans="2:16" ht="17.25" x14ac:dyDescent="0.25">
      <c r="B270" s="774" t="str">
        <f>'kuni 2025 detsember tegevuskava'!A69&amp;"/"&amp;'kuni 2025 detsember tegevuskava'!C69</f>
        <v>SOM/TEHIK</v>
      </c>
      <c r="C270" s="770" t="str">
        <f>'kuni 2025 detsember tegevuskava'!I69</f>
        <v xml:space="preserve">Andmepõhine otsuste langetamine ning andmete tagamine juhtimisotsusteks, analüüsideks, teadlastele kasutamiseks on igapäevane normaalsus. Digiriigi arengukava kohaselt on üheks oluliseks suunaks ja arenguhüppe võimaldajaks andmepõhine riigivalitsemine ja andmete taaskasutus. 2020-2022 ehitati TEHIKus üles andmehalduse, -analüüsi ja andmeladude loomise võimekus, kättesaadavaks tehti avaandmed. Tegevuste rahastus oli ühekordsetest vahenditest. Alates 2023 aastast rahastus ei jätkunud ning 2023 ja 2024 on tegevusi jätkatud eelarve jääkidest, mida 2025 aastaks enam ei jätku. </v>
      </c>
      <c r="D270" s="770" t="str">
        <f>'kuni 2025 detsember tegevuskava'!J69</f>
        <v>Andmepõhiseks riigivalitsemiseks tervise - ja sotsiaalvaldkonnas andmehalduse ja kvaliteedi tagamine </v>
      </c>
      <c r="E270" s="770" t="str">
        <f>'kuni 2025 detsember tegevuskava'!K69</f>
        <v>Tagatud on andmed analüüsideks ja juhtimisotsuste tegemiseks, paraneb andmekvaliteet,  tagatud on andmeladude jätkusuutlikkus. Tegevuste mittejätkumiselt väheneb oluliselt andmete kättesaadavus.</v>
      </c>
      <c r="F270" s="770" t="str">
        <f>'kuni 2025 detsember tegevuskava'!P69&amp;"/"</f>
        <v>RES IKT (vaja juurde taotleda)/</v>
      </c>
      <c r="G270" s="716"/>
      <c r="H270" s="160"/>
      <c r="I270" s="119">
        <f>SUM(I271:I273)</f>
        <v>2302125</v>
      </c>
      <c r="J270" s="120"/>
      <c r="K270" s="73">
        <f>SUM(K271:K273)</f>
        <v>0</v>
      </c>
      <c r="L270" s="75"/>
      <c r="M270" s="119">
        <f>SUM(M271:M273)</f>
        <v>0</v>
      </c>
      <c r="N270" s="120"/>
      <c r="O270" s="73">
        <f>SUM(O271:O273)</f>
        <v>2302125</v>
      </c>
      <c r="P270" s="77"/>
    </row>
    <row r="271" spans="2:16" ht="17.25" x14ac:dyDescent="0.25">
      <c r="B271" s="775"/>
      <c r="C271" s="771"/>
      <c r="D271" s="771"/>
      <c r="E271" s="771"/>
      <c r="F271" s="771"/>
      <c r="G271" s="715"/>
      <c r="H271" s="706"/>
      <c r="I271" s="92">
        <f>SUM(K271+M271+O271)</f>
        <v>90000</v>
      </c>
      <c r="J271" s="93" t="str">
        <f>"(15)"</f>
        <v>(15)</v>
      </c>
      <c r="K271" s="705">
        <f>'kuni 2025 detsember tegevuskava'!X69</f>
        <v>0</v>
      </c>
      <c r="L271" s="702" t="str">
        <f>"(15)"</f>
        <v>(15)</v>
      </c>
      <c r="M271" s="92">
        <f>'kuni 2025 detsember tegevuskava'!AA69</f>
        <v>0</v>
      </c>
      <c r="N271" s="93" t="str">
        <f>"(15)"</f>
        <v>(15)</v>
      </c>
      <c r="O271" s="705">
        <f>'kuni 2025 detsember tegevuskava'!AD69</f>
        <v>90000</v>
      </c>
      <c r="P271" s="79" t="str">
        <f>"(15)"</f>
        <v>(15)</v>
      </c>
    </row>
    <row r="272" spans="2:16" ht="17.25" x14ac:dyDescent="0.25">
      <c r="B272" s="775"/>
      <c r="C272" s="771"/>
      <c r="D272" s="771"/>
      <c r="E272" s="771"/>
      <c r="F272" s="771"/>
      <c r="G272" s="715"/>
      <c r="H272" s="706"/>
      <c r="I272" s="92">
        <f>SUM(K272+M272+O272)</f>
        <v>1704600</v>
      </c>
      <c r="J272" s="93" t="str">
        <f>"(50)"</f>
        <v>(50)</v>
      </c>
      <c r="K272" s="705">
        <f>'kuni 2025 detsember tegevuskava'!Y69</f>
        <v>0</v>
      </c>
      <c r="L272" s="702" t="str">
        <f>"(50)"</f>
        <v>(50)</v>
      </c>
      <c r="M272" s="92">
        <f>'kuni 2025 detsember tegevuskava'!AB69</f>
        <v>0</v>
      </c>
      <c r="N272" s="93" t="str">
        <f>"(50)"</f>
        <v>(50)</v>
      </c>
      <c r="O272" s="705">
        <f>'kuni 2025 detsember tegevuskava'!AE69</f>
        <v>1704600</v>
      </c>
      <c r="P272" s="79" t="str">
        <f>"(50)"</f>
        <v>(50)</v>
      </c>
    </row>
    <row r="273" spans="2:16" ht="17.25" x14ac:dyDescent="0.25">
      <c r="B273" s="775"/>
      <c r="C273" s="771"/>
      <c r="D273" s="771"/>
      <c r="E273" s="771"/>
      <c r="F273" s="771"/>
      <c r="G273" s="715"/>
      <c r="H273" s="706"/>
      <c r="I273" s="92">
        <f>SUM(K273+M273+O273)</f>
        <v>507525</v>
      </c>
      <c r="J273" s="93" t="str">
        <f>"(55)"</f>
        <v>(55)</v>
      </c>
      <c r="K273" s="89">
        <f>'kuni 2025 detsember tegevuskava'!Z69</f>
        <v>0</v>
      </c>
      <c r="L273" s="702" t="str">
        <f>"(55)"</f>
        <v>(55)</v>
      </c>
      <c r="M273" s="94">
        <f>'kuni 2025 detsember tegevuskava'!AC69</f>
        <v>0</v>
      </c>
      <c r="N273" s="93" t="str">
        <f>"(55)"</f>
        <v>(55)</v>
      </c>
      <c r="O273" s="89">
        <f>'kuni 2025 detsember tegevuskava'!AF69</f>
        <v>507525</v>
      </c>
      <c r="P273" s="79" t="str">
        <f>"(55)"</f>
        <v>(55)</v>
      </c>
    </row>
    <row r="274" spans="2:16" ht="17.25" x14ac:dyDescent="0.25">
      <c r="B274" s="775"/>
      <c r="C274" s="771"/>
      <c r="D274" s="771"/>
      <c r="E274" s="771"/>
      <c r="F274" s="771"/>
      <c r="G274" s="715"/>
      <c r="H274" s="706"/>
      <c r="I274" s="155" t="s">
        <v>562</v>
      </c>
      <c r="J274" s="161"/>
      <c r="K274" s="161"/>
      <c r="L274" s="161"/>
      <c r="M274" s="161"/>
      <c r="N274" s="161"/>
      <c r="O274" s="161"/>
      <c r="P274" s="162"/>
    </row>
    <row r="275" spans="2:16" ht="17.25" x14ac:dyDescent="0.25">
      <c r="B275" s="775"/>
      <c r="C275" s="771"/>
      <c r="D275" s="771"/>
      <c r="E275" s="771"/>
      <c r="F275" s="771"/>
      <c r="G275" s="715"/>
      <c r="H275" s="706"/>
      <c r="I275" s="153">
        <f>SUM(I276:I278)</f>
        <v>2433580.5</v>
      </c>
      <c r="J275" s="93"/>
      <c r="K275" s="703">
        <f>SUM(K276:K278)</f>
        <v>0</v>
      </c>
      <c r="L275" s="704"/>
      <c r="M275" s="153">
        <f>SUM(M276:M278)</f>
        <v>0</v>
      </c>
      <c r="N275" s="146"/>
      <c r="O275" s="153">
        <f>SUM(O276:O278)</f>
        <v>2433580.5</v>
      </c>
      <c r="P275" s="64"/>
    </row>
    <row r="276" spans="2:16" ht="17.25" x14ac:dyDescent="0.25">
      <c r="B276" s="775"/>
      <c r="C276" s="771"/>
      <c r="D276" s="771"/>
      <c r="E276" s="771"/>
      <c r="F276" s="771"/>
      <c r="G276" s="715"/>
      <c r="H276" s="706"/>
      <c r="I276" s="92">
        <f>SUM(K276+M276+O276)</f>
        <v>109800</v>
      </c>
      <c r="J276" s="93" t="str">
        <f>"(15)"</f>
        <v>(15)</v>
      </c>
      <c r="K276" s="705">
        <f>SUM(K271*1.2)</f>
        <v>0</v>
      </c>
      <c r="L276" s="702" t="str">
        <f>"(15)"</f>
        <v>(15)</v>
      </c>
      <c r="M276" s="92">
        <f>SUM(M271*1.22)</f>
        <v>0</v>
      </c>
      <c r="N276" s="93" t="str">
        <f>"(15)"</f>
        <v>(15)</v>
      </c>
      <c r="O276" s="92">
        <f>SUM(O271*1.22)</f>
        <v>109800</v>
      </c>
      <c r="P276" s="79" t="str">
        <f>"(15)"</f>
        <v>(15)</v>
      </c>
    </row>
    <row r="277" spans="2:16" ht="17.25" x14ac:dyDescent="0.25">
      <c r="B277" s="775"/>
      <c r="C277" s="771"/>
      <c r="D277" s="771"/>
      <c r="E277" s="771"/>
      <c r="F277" s="771"/>
      <c r="G277" s="715"/>
      <c r="H277" s="706"/>
      <c r="I277" s="92">
        <f>SUM(K277+M277+O277)</f>
        <v>1704600</v>
      </c>
      <c r="J277" s="93" t="str">
        <f>"(50)"</f>
        <v>(50)</v>
      </c>
      <c r="K277" s="705">
        <f>K272</f>
        <v>0</v>
      </c>
      <c r="L277" s="702" t="str">
        <f>"(50)"</f>
        <v>(50)</v>
      </c>
      <c r="M277" s="92">
        <f>M272</f>
        <v>0</v>
      </c>
      <c r="N277" s="93" t="str">
        <f>"(50)"</f>
        <v>(50)</v>
      </c>
      <c r="O277" s="92">
        <f>O272</f>
        <v>1704600</v>
      </c>
      <c r="P277" s="79" t="str">
        <f>"(50)"</f>
        <v>(50)</v>
      </c>
    </row>
    <row r="278" spans="2:16" ht="83.25" customHeight="1" thickBot="1" x14ac:dyDescent="0.3">
      <c r="B278" s="776"/>
      <c r="C278" s="773"/>
      <c r="D278" s="773"/>
      <c r="E278" s="773"/>
      <c r="F278" s="773"/>
      <c r="G278" s="715"/>
      <c r="H278" s="706"/>
      <c r="I278" s="92">
        <f>SUM(K278+M278+O278)</f>
        <v>619180.5</v>
      </c>
      <c r="J278" s="93" t="str">
        <f>"(55)"</f>
        <v>(55)</v>
      </c>
      <c r="K278" s="705">
        <f>SUM(K273*1.2)</f>
        <v>0</v>
      </c>
      <c r="L278" s="702" t="str">
        <f>"(55)"</f>
        <v>(55)</v>
      </c>
      <c r="M278" s="92">
        <f>SUM(M273*1.22)</f>
        <v>0</v>
      </c>
      <c r="N278" s="93" t="str">
        <f>"(55)"</f>
        <v>(55)</v>
      </c>
      <c r="O278" s="92">
        <f>SUM(O273*1.22)</f>
        <v>619180.5</v>
      </c>
      <c r="P278" s="79" t="str">
        <f>"(55)"</f>
        <v>(55)</v>
      </c>
    </row>
    <row r="279" spans="2:16" ht="17.25" x14ac:dyDescent="0.25">
      <c r="B279" s="774" t="str">
        <f>'kuni 2025 detsember tegevuskava'!A70&amp;"/"&amp;'kuni 2025 detsember tegevuskava'!C70</f>
        <v>SOM/TEHIK</v>
      </c>
      <c r="C279" s="770" t="str">
        <f>'kuni 2025 detsember tegevuskava'!I70</f>
        <v xml:space="preserve">Tervise valdkonna infosüsteemide ülalpidamiseks (hooldamiseks, haldamiseks, majutamiseks) puuduvad piisavad vahendid baaseelarves. Kõigil aastatel on ka RESi lisaeelarve taotlused esitatud ning ka osaliselt rahastust saadud, kuid see ei ole olnud piisav võimaldamaks nõuetekohaselt infosüsteeme hallata ja majutada, kuna valdavalt on jäänud rahastamata baastaristu tagamisega seotud taotlused, ilma milleta on teenuste ülalpidamine võimatu. Samas on vajadus uute lahenduste järele ning teenuseid on loodud juurde või uuendatud, nõuded teenuste käideldavusele on kasvanud. Üheaastaste lepingute alusel on Tervisekassa rahastanud tervise valdkonna infosüsteemide ülalpidamist. 2024 aastaks on kokku lepitud digisaatekirjade, e-kiirabi, digiregistratuuri, otsustustoe, apteegi MISP2, terviseportaali, personaalmeditsiini ja tervisejuhtimise töölaua ülalpidamine Tervisekassa eelarvest. Puudub kindlus, et rahastus jätkub 2025 ja edaspidi, arvestades, et Tervisekassa 2025 a eelarve prognoositav puudujääk on üle 149 miljoni euro. </v>
      </c>
      <c r="D279" s="770" t="str">
        <f>'kuni 2025 detsember tegevuskava'!J70</f>
        <v>Tervise valdkonna uute ja uuendatud IKT teenuste ülalpidamine</v>
      </c>
      <c r="E279" s="770" t="str">
        <f>'kuni 2025 detsember tegevuskava'!K70</f>
        <v>Tervise valdkonna teenused on nõuetekohaselt ja turvaliselt kättesaadavad, katkestuste arve on SLA piires.</v>
      </c>
      <c r="F279" s="770" t="str">
        <f>'kuni 2025 detsember tegevuskava'!P70&amp;"/"</f>
        <v>RES IKT (vaja juurde taotleda)/</v>
      </c>
      <c r="G279" s="716"/>
      <c r="H279" s="160"/>
      <c r="I279" s="119">
        <f>SUM(I280:I281)</f>
        <v>2250398</v>
      </c>
      <c r="J279" s="120"/>
      <c r="K279" s="73">
        <f>SUM(K280:K281)</f>
        <v>0</v>
      </c>
      <c r="L279" s="75"/>
      <c r="M279" s="119">
        <f>SUM(M280:M281)</f>
        <v>0</v>
      </c>
      <c r="N279" s="120"/>
      <c r="O279" s="73">
        <f>SUM(O280:O281)</f>
        <v>2250398</v>
      </c>
      <c r="P279" s="77"/>
    </row>
    <row r="280" spans="2:16" ht="17.25" x14ac:dyDescent="0.25">
      <c r="B280" s="775"/>
      <c r="C280" s="771"/>
      <c r="D280" s="771"/>
      <c r="E280" s="771"/>
      <c r="F280" s="771"/>
      <c r="G280" s="715"/>
      <c r="H280" s="706"/>
      <c r="I280" s="92">
        <f>SUM(K280+M280+O280)</f>
        <v>1126020</v>
      </c>
      <c r="J280" s="93" t="str">
        <f>"(50)"</f>
        <v>(50)</v>
      </c>
      <c r="K280" s="705">
        <f>'kuni 2025 detsember tegevuskava'!Y70</f>
        <v>0</v>
      </c>
      <c r="L280" s="702" t="str">
        <f>"(50)"</f>
        <v>(50)</v>
      </c>
      <c r="M280" s="92">
        <f>'kuni 2025 detsember tegevuskava'!AB70</f>
        <v>0</v>
      </c>
      <c r="N280" s="93" t="str">
        <f>"(50)"</f>
        <v>(50)</v>
      </c>
      <c r="O280" s="705">
        <f>'kuni 2025 detsember tegevuskava'!AE70</f>
        <v>1126020</v>
      </c>
      <c r="P280" s="79" t="str">
        <f>"(50)"</f>
        <v>(50)</v>
      </c>
    </row>
    <row r="281" spans="2:16" ht="17.25" x14ac:dyDescent="0.25">
      <c r="B281" s="775"/>
      <c r="C281" s="771"/>
      <c r="D281" s="771"/>
      <c r="E281" s="771"/>
      <c r="F281" s="771"/>
      <c r="G281" s="715"/>
      <c r="H281" s="706"/>
      <c r="I281" s="92">
        <f>SUM(K281+M281+O281)</f>
        <v>1124378</v>
      </c>
      <c r="J281" s="93" t="str">
        <f>"(55)"</f>
        <v>(55)</v>
      </c>
      <c r="K281" s="89">
        <f>'kuni 2025 detsember tegevuskava'!Z70</f>
        <v>0</v>
      </c>
      <c r="L281" s="702" t="str">
        <f>"(55)"</f>
        <v>(55)</v>
      </c>
      <c r="M281" s="94">
        <f>'kuni 2025 detsember tegevuskava'!AC70</f>
        <v>0</v>
      </c>
      <c r="N281" s="93" t="str">
        <f>"(55)"</f>
        <v>(55)</v>
      </c>
      <c r="O281" s="89">
        <f>'kuni 2025 detsember tegevuskava'!AF70</f>
        <v>1124378</v>
      </c>
      <c r="P281" s="79" t="str">
        <f>"(55)"</f>
        <v>(55)</v>
      </c>
    </row>
    <row r="282" spans="2:16" ht="17.25" x14ac:dyDescent="0.25">
      <c r="B282" s="775"/>
      <c r="C282" s="771"/>
      <c r="D282" s="771"/>
      <c r="E282" s="771"/>
      <c r="F282" s="771"/>
      <c r="G282" s="715"/>
      <c r="H282" s="706"/>
      <c r="I282" s="155" t="s">
        <v>562</v>
      </c>
      <c r="J282" s="161"/>
      <c r="K282" s="161"/>
      <c r="L282" s="161"/>
      <c r="M282" s="161"/>
      <c r="N282" s="161"/>
      <c r="O282" s="161"/>
      <c r="P282" s="162"/>
    </row>
    <row r="283" spans="2:16" ht="17.25" x14ac:dyDescent="0.25">
      <c r="B283" s="775"/>
      <c r="C283" s="771"/>
      <c r="D283" s="771"/>
      <c r="E283" s="771"/>
      <c r="F283" s="771"/>
      <c r="G283" s="715"/>
      <c r="H283" s="706"/>
      <c r="I283" s="153">
        <f>SUM(I284:I285)</f>
        <v>2497761.16</v>
      </c>
      <c r="J283" s="93"/>
      <c r="K283" s="703">
        <f>SUM(K284:K285)</f>
        <v>0</v>
      </c>
      <c r="L283" s="704"/>
      <c r="M283" s="153">
        <f>SUM(M284:M285)</f>
        <v>0</v>
      </c>
      <c r="N283" s="146"/>
      <c r="O283" s="153">
        <f>SUM(O284:O285)</f>
        <v>2497761.16</v>
      </c>
      <c r="P283" s="64"/>
    </row>
    <row r="284" spans="2:16" ht="17.25" x14ac:dyDescent="0.25">
      <c r="B284" s="775"/>
      <c r="C284" s="771"/>
      <c r="D284" s="771"/>
      <c r="E284" s="771"/>
      <c r="F284" s="771"/>
      <c r="G284" s="715"/>
      <c r="H284" s="706"/>
      <c r="I284" s="92">
        <f>SUM(K284+M284+O284)</f>
        <v>1126020</v>
      </c>
      <c r="J284" s="93" t="str">
        <f>"(50)"</f>
        <v>(50)</v>
      </c>
      <c r="K284" s="705">
        <f>K280</f>
        <v>0</v>
      </c>
      <c r="L284" s="702" t="str">
        <f>"(50)"</f>
        <v>(50)</v>
      </c>
      <c r="M284" s="92">
        <f>M280</f>
        <v>0</v>
      </c>
      <c r="N284" s="93" t="str">
        <f>"(50)"</f>
        <v>(50)</v>
      </c>
      <c r="O284" s="92">
        <f>O280</f>
        <v>1126020</v>
      </c>
      <c r="P284" s="79" t="str">
        <f>"(50)"</f>
        <v>(50)</v>
      </c>
    </row>
    <row r="285" spans="2:16" ht="287.25" customHeight="1" thickBot="1" x14ac:dyDescent="0.3">
      <c r="B285" s="777"/>
      <c r="C285" s="772"/>
      <c r="D285" s="772"/>
      <c r="E285" s="772"/>
      <c r="F285" s="772"/>
      <c r="G285" s="717"/>
      <c r="H285" s="159"/>
      <c r="I285" s="117">
        <f>SUM(K285+M285+O285)</f>
        <v>1371741.16</v>
      </c>
      <c r="J285" s="118" t="str">
        <f>"(55)"</f>
        <v>(55)</v>
      </c>
      <c r="K285" s="85">
        <f>SUM(K281*1.2)</f>
        <v>0</v>
      </c>
      <c r="L285" s="86" t="str">
        <f>"(55)"</f>
        <v>(55)</v>
      </c>
      <c r="M285" s="117">
        <f>SUM(M281*1.22)</f>
        <v>0</v>
      </c>
      <c r="N285" s="118" t="str">
        <f>"(55)"</f>
        <v>(55)</v>
      </c>
      <c r="O285" s="117">
        <f>SUM(O281*1.22)</f>
        <v>1371741.16</v>
      </c>
      <c r="P285" s="88" t="str">
        <f>"(55)"</f>
        <v>(55)</v>
      </c>
    </row>
    <row r="286" spans="2:16" ht="17.25" x14ac:dyDescent="0.25">
      <c r="B286" s="774" t="str">
        <f>'kuni 2025 detsember tegevuskava'!A71&amp;"/"&amp;'kuni 2025 detsember tegevuskava'!C71</f>
        <v>SOM/TEHIK</v>
      </c>
      <c r="C286" s="770" t="str">
        <f>'kuni 2025 detsember tegevuskava'!I71</f>
        <v>Hädaolukorra seaduse muutmise ja sellega seonduvate teiste seaduste muutmise eelnõust tulenevate kohustuste täitmine, sh digitaristu võimestamine ning küberrünnakute tõkestamine ETOdega seotud süsteemidele ning terviseandmetele.</v>
      </c>
      <c r="D286" s="770" t="str">
        <f>'kuni 2025 detsember tegevuskava'!J71</f>
        <v>Küberturvalisuse tagamise võimekuse säilitamine</v>
      </c>
      <c r="E286" s="770" t="str">
        <f>'kuni 2025 detsember tegevuskava'!K71</f>
        <v>Ründetuvastusmoodul on soetatud ning kasutusse võetud ja ajakohased litsentsid on tagatud</v>
      </c>
      <c r="F286" s="770" t="str">
        <f>'kuni 2025 detsember tegevuskava'!P71&amp;"/"</f>
        <v>RES IKT (vaja juurde taotleda)/</v>
      </c>
      <c r="G286" s="716"/>
      <c r="H286" s="160"/>
      <c r="I286" s="119">
        <f>SUM(I287:I288)</f>
        <v>757000</v>
      </c>
      <c r="J286" s="120"/>
      <c r="K286" s="73">
        <f>SUM(K287:K288)</f>
        <v>0</v>
      </c>
      <c r="L286" s="75"/>
      <c r="M286" s="119">
        <f>SUM(M287:M288)</f>
        <v>0</v>
      </c>
      <c r="N286" s="120"/>
      <c r="O286" s="73">
        <f>SUM(O287:O288)</f>
        <v>757000</v>
      </c>
      <c r="P286" s="77"/>
    </row>
    <row r="287" spans="2:16" ht="17.25" x14ac:dyDescent="0.25">
      <c r="B287" s="775"/>
      <c r="C287" s="771"/>
      <c r="D287" s="771"/>
      <c r="E287" s="771"/>
      <c r="F287" s="771"/>
      <c r="G287" s="715"/>
      <c r="H287" s="706"/>
      <c r="I287" s="92">
        <f>SUM(K287+M287+O287)</f>
        <v>497000</v>
      </c>
      <c r="J287" s="93" t="str">
        <f>"(15)"</f>
        <v>(15)</v>
      </c>
      <c r="K287" s="705">
        <f>'kuni 2025 detsember tegevuskava'!X71</f>
        <v>0</v>
      </c>
      <c r="L287" s="702" t="str">
        <f>"(15)"</f>
        <v>(15)</v>
      </c>
      <c r="M287" s="92">
        <f>'kuni 2025 detsember tegevuskava'!AA71</f>
        <v>0</v>
      </c>
      <c r="N287" s="93" t="str">
        <f>"(15)"</f>
        <v>(15)</v>
      </c>
      <c r="O287" s="705">
        <f>'kuni 2025 detsember tegevuskava'!AD71</f>
        <v>497000</v>
      </c>
      <c r="P287" s="79" t="str">
        <f>"(15)"</f>
        <v>(15)</v>
      </c>
    </row>
    <row r="288" spans="2:16" ht="17.25" x14ac:dyDescent="0.25">
      <c r="B288" s="775"/>
      <c r="C288" s="771"/>
      <c r="D288" s="771"/>
      <c r="E288" s="771"/>
      <c r="F288" s="771"/>
      <c r="G288" s="715"/>
      <c r="H288" s="706"/>
      <c r="I288" s="92">
        <f>SUM(K288+M288+O288)</f>
        <v>260000</v>
      </c>
      <c r="J288" s="93" t="str">
        <f>"(55)"</f>
        <v>(55)</v>
      </c>
      <c r="K288" s="89">
        <f>'kuni 2025 detsember tegevuskava'!Z71</f>
        <v>0</v>
      </c>
      <c r="L288" s="702" t="str">
        <f>"(55)"</f>
        <v>(55)</v>
      </c>
      <c r="M288" s="94">
        <f>'kuni 2025 detsember tegevuskava'!AC71</f>
        <v>0</v>
      </c>
      <c r="N288" s="93" t="str">
        <f>"(55)"</f>
        <v>(55)</v>
      </c>
      <c r="O288" s="89">
        <f>'kuni 2025 detsember tegevuskava'!AF71</f>
        <v>260000</v>
      </c>
      <c r="P288" s="79" t="str">
        <f>"(55)"</f>
        <v>(55)</v>
      </c>
    </row>
    <row r="289" spans="2:16" ht="17.25" x14ac:dyDescent="0.25">
      <c r="B289" s="775"/>
      <c r="C289" s="771"/>
      <c r="D289" s="771"/>
      <c r="E289" s="771"/>
      <c r="F289" s="771"/>
      <c r="G289" s="715"/>
      <c r="H289" s="706"/>
      <c r="I289" s="155" t="s">
        <v>562</v>
      </c>
      <c r="J289" s="161"/>
      <c r="K289" s="161"/>
      <c r="L289" s="161"/>
      <c r="M289" s="161"/>
      <c r="N289" s="161"/>
      <c r="O289" s="161"/>
      <c r="P289" s="162"/>
    </row>
    <row r="290" spans="2:16" ht="17.25" x14ac:dyDescent="0.25">
      <c r="B290" s="775"/>
      <c r="C290" s="771"/>
      <c r="D290" s="771"/>
      <c r="E290" s="771"/>
      <c r="F290" s="771"/>
      <c r="G290" s="715"/>
      <c r="H290" s="706"/>
      <c r="I290" s="153">
        <f>SUM(I291:I292)</f>
        <v>923540</v>
      </c>
      <c r="J290" s="93"/>
      <c r="K290" s="703">
        <f>SUM(K291:K292)</f>
        <v>0</v>
      </c>
      <c r="L290" s="704"/>
      <c r="M290" s="153">
        <f>SUM(M291:M292)</f>
        <v>0</v>
      </c>
      <c r="N290" s="146"/>
      <c r="O290" s="153">
        <f>SUM(O291:O292)</f>
        <v>923540</v>
      </c>
      <c r="P290" s="64"/>
    </row>
    <row r="291" spans="2:16" ht="17.25" x14ac:dyDescent="0.25">
      <c r="B291" s="775"/>
      <c r="C291" s="771"/>
      <c r="D291" s="771"/>
      <c r="E291" s="771"/>
      <c r="F291" s="771"/>
      <c r="G291" s="715"/>
      <c r="H291" s="706"/>
      <c r="I291" s="92">
        <f>SUM(K291+M291+O291)</f>
        <v>606340</v>
      </c>
      <c r="J291" s="93" t="str">
        <f>"(15)"</f>
        <v>(15)</v>
      </c>
      <c r="K291" s="705">
        <f>SUM(K287*1.2)</f>
        <v>0</v>
      </c>
      <c r="L291" s="702" t="str">
        <f>"(15)"</f>
        <v>(15)</v>
      </c>
      <c r="M291" s="92">
        <f>SUM(M287*1.22)</f>
        <v>0</v>
      </c>
      <c r="N291" s="93" t="str">
        <f>"(15)"</f>
        <v>(15)</v>
      </c>
      <c r="O291" s="92">
        <f>SUM(O287*1.22)</f>
        <v>606340</v>
      </c>
      <c r="P291" s="79" t="str">
        <f>"(15)"</f>
        <v>(15)</v>
      </c>
    </row>
    <row r="292" spans="2:16" ht="18" thickBot="1" x14ac:dyDescent="0.3">
      <c r="B292" s="777"/>
      <c r="C292" s="772"/>
      <c r="D292" s="772"/>
      <c r="E292" s="772"/>
      <c r="F292" s="772"/>
      <c r="G292" s="717"/>
      <c r="H292" s="159"/>
      <c r="I292" s="117">
        <f>SUM(K292+M292+O292)</f>
        <v>317200</v>
      </c>
      <c r="J292" s="118" t="str">
        <f>"(55)"</f>
        <v>(55)</v>
      </c>
      <c r="K292" s="85">
        <f>SUM(K288*1.2)</f>
        <v>0</v>
      </c>
      <c r="L292" s="86" t="str">
        <f>"(55)"</f>
        <v>(55)</v>
      </c>
      <c r="M292" s="117">
        <f>SUM(M288*1.22)</f>
        <v>0</v>
      </c>
      <c r="N292" s="118" t="str">
        <f>"(55)"</f>
        <v>(55)</v>
      </c>
      <c r="O292" s="117">
        <f>SUM(O288*1.22)</f>
        <v>317200</v>
      </c>
      <c r="P292" s="88" t="str">
        <f>"(55)"</f>
        <v>(55)</v>
      </c>
    </row>
    <row r="294" spans="2:16" ht="66.75" customHeight="1" x14ac:dyDescent="0.25">
      <c r="B294" s="769" t="s">
        <v>729</v>
      </c>
      <c r="C294" s="769"/>
      <c r="D294" s="769"/>
      <c r="E294" s="769"/>
      <c r="F294" s="769"/>
      <c r="G294" s="806"/>
      <c r="H294" s="806"/>
      <c r="I294" s="806"/>
      <c r="J294" s="806"/>
      <c r="K294" s="806"/>
      <c r="L294" s="806"/>
      <c r="M294" s="806"/>
      <c r="N294" s="806"/>
      <c r="O294" s="806"/>
      <c r="P294" s="806"/>
    </row>
    <row r="296" spans="2:16" x14ac:dyDescent="0.25">
      <c r="B296" s="719" t="s">
        <v>730</v>
      </c>
    </row>
    <row r="297" spans="2:16" x14ac:dyDescent="0.25">
      <c r="B297" s="719" t="s">
        <v>731</v>
      </c>
    </row>
    <row r="298" spans="2:16" x14ac:dyDescent="0.2">
      <c r="B298" s="819" t="s">
        <v>732</v>
      </c>
    </row>
  </sheetData>
  <mergeCells count="201">
    <mergeCell ref="B294:P294"/>
    <mergeCell ref="B7:P7"/>
    <mergeCell ref="B10:P10"/>
    <mergeCell ref="B2:P2"/>
    <mergeCell ref="Q15:AA15"/>
    <mergeCell ref="Q16:AA16"/>
    <mergeCell ref="J26:N26"/>
    <mergeCell ref="J19:P19"/>
    <mergeCell ref="I35:J35"/>
    <mergeCell ref="Q17:AA17"/>
    <mergeCell ref="M35:N35"/>
    <mergeCell ref="B95:B101"/>
    <mergeCell ref="B102:B108"/>
    <mergeCell ref="I36:J36"/>
    <mergeCell ref="K36:L36"/>
    <mergeCell ref="M36:N36"/>
    <mergeCell ref="K35:L35"/>
    <mergeCell ref="O35:P35"/>
    <mergeCell ref="O36:P36"/>
    <mergeCell ref="B41:B47"/>
    <mergeCell ref="B48:B54"/>
    <mergeCell ref="B55:B61"/>
    <mergeCell ref="D35:D36"/>
    <mergeCell ref="F35:H36"/>
    <mergeCell ref="D41:D47"/>
    <mergeCell ref="D48:D54"/>
    <mergeCell ref="D55:D61"/>
    <mergeCell ref="E72:E80"/>
    <mergeCell ref="E81:E89"/>
    <mergeCell ref="E90:E94"/>
    <mergeCell ref="E95:E101"/>
    <mergeCell ref="E102:E108"/>
    <mergeCell ref="E41:E47"/>
    <mergeCell ref="E48:E54"/>
    <mergeCell ref="E55:E61"/>
    <mergeCell ref="E62:E66"/>
    <mergeCell ref="E67:E71"/>
    <mergeCell ref="B141:B147"/>
    <mergeCell ref="B148:B154"/>
    <mergeCell ref="B155:B161"/>
    <mergeCell ref="B162:B168"/>
    <mergeCell ref="B169:B175"/>
    <mergeCell ref="B62:B66"/>
    <mergeCell ref="B67:B71"/>
    <mergeCell ref="B35:B36"/>
    <mergeCell ref="C35:C36"/>
    <mergeCell ref="C134:C140"/>
    <mergeCell ref="C141:C147"/>
    <mergeCell ref="C148:C154"/>
    <mergeCell ref="C118:C126"/>
    <mergeCell ref="C127:C133"/>
    <mergeCell ref="C155:C161"/>
    <mergeCell ref="C162:C168"/>
    <mergeCell ref="C169:C175"/>
    <mergeCell ref="B127:B133"/>
    <mergeCell ref="B134:B140"/>
    <mergeCell ref="B109:B117"/>
    <mergeCell ref="B118:B126"/>
    <mergeCell ref="B72:B80"/>
    <mergeCell ref="B81:B89"/>
    <mergeCell ref="B90:B94"/>
    <mergeCell ref="B207:B211"/>
    <mergeCell ref="B212:B216"/>
    <mergeCell ref="B217:B223"/>
    <mergeCell ref="B224:B230"/>
    <mergeCell ref="B176:B180"/>
    <mergeCell ref="B181:B187"/>
    <mergeCell ref="B188:B194"/>
    <mergeCell ref="B195:B201"/>
    <mergeCell ref="B202:B206"/>
    <mergeCell ref="B270:B278"/>
    <mergeCell ref="B279:B285"/>
    <mergeCell ref="B286:B292"/>
    <mergeCell ref="C41:C47"/>
    <mergeCell ref="C48:C54"/>
    <mergeCell ref="C55:C61"/>
    <mergeCell ref="C62:C66"/>
    <mergeCell ref="C67:C71"/>
    <mergeCell ref="C72:C80"/>
    <mergeCell ref="C81:C89"/>
    <mergeCell ref="C90:C94"/>
    <mergeCell ref="C95:C101"/>
    <mergeCell ref="C102:C108"/>
    <mergeCell ref="C109:C117"/>
    <mergeCell ref="B231:B239"/>
    <mergeCell ref="B240:B248"/>
    <mergeCell ref="B249:B255"/>
    <mergeCell ref="B256:B262"/>
    <mergeCell ref="B263:B269"/>
    <mergeCell ref="C188:C194"/>
    <mergeCell ref="C195:C201"/>
    <mergeCell ref="C202:C206"/>
    <mergeCell ref="C207:C211"/>
    <mergeCell ref="C212:C216"/>
    <mergeCell ref="C176:C180"/>
    <mergeCell ref="C181:C187"/>
    <mergeCell ref="D141:D147"/>
    <mergeCell ref="D148:D154"/>
    <mergeCell ref="D155:D161"/>
    <mergeCell ref="D162:D168"/>
    <mergeCell ref="D127:D133"/>
    <mergeCell ref="D134:D140"/>
    <mergeCell ref="C286:C292"/>
    <mergeCell ref="C249:C255"/>
    <mergeCell ref="C256:C262"/>
    <mergeCell ref="C263:C269"/>
    <mergeCell ref="C270:C278"/>
    <mergeCell ref="C279:C285"/>
    <mergeCell ref="D202:D206"/>
    <mergeCell ref="D207:D211"/>
    <mergeCell ref="D212:D216"/>
    <mergeCell ref="D217:D223"/>
    <mergeCell ref="D169:D175"/>
    <mergeCell ref="D176:D180"/>
    <mergeCell ref="D181:D187"/>
    <mergeCell ref="D188:D194"/>
    <mergeCell ref="D195:D201"/>
    <mergeCell ref="D62:D66"/>
    <mergeCell ref="D67:D71"/>
    <mergeCell ref="D72:D80"/>
    <mergeCell ref="D81:D89"/>
    <mergeCell ref="D90:D94"/>
    <mergeCell ref="D95:D101"/>
    <mergeCell ref="D102:D108"/>
    <mergeCell ref="D109:D117"/>
    <mergeCell ref="D118:D126"/>
    <mergeCell ref="E141:E147"/>
    <mergeCell ref="E148:E154"/>
    <mergeCell ref="E155:E161"/>
    <mergeCell ref="E162:E168"/>
    <mergeCell ref="E169:E175"/>
    <mergeCell ref="E127:E133"/>
    <mergeCell ref="E134:E140"/>
    <mergeCell ref="E109:E117"/>
    <mergeCell ref="E118:E126"/>
    <mergeCell ref="E207:E211"/>
    <mergeCell ref="E212:E216"/>
    <mergeCell ref="E217:E223"/>
    <mergeCell ref="E224:E230"/>
    <mergeCell ref="E176:E180"/>
    <mergeCell ref="E181:E187"/>
    <mergeCell ref="E188:E194"/>
    <mergeCell ref="E195:E201"/>
    <mergeCell ref="E202:E206"/>
    <mergeCell ref="F134:F140"/>
    <mergeCell ref="F141:F147"/>
    <mergeCell ref="F148:F154"/>
    <mergeCell ref="F118:F126"/>
    <mergeCell ref="F127:F133"/>
    <mergeCell ref="E270:E278"/>
    <mergeCell ref="E279:E285"/>
    <mergeCell ref="E286:E292"/>
    <mergeCell ref="F41:F47"/>
    <mergeCell ref="F48:F54"/>
    <mergeCell ref="F55:F61"/>
    <mergeCell ref="F62:F66"/>
    <mergeCell ref="F67:F71"/>
    <mergeCell ref="F72:F80"/>
    <mergeCell ref="F81:F89"/>
    <mergeCell ref="F90:F94"/>
    <mergeCell ref="F95:F101"/>
    <mergeCell ref="F102:F108"/>
    <mergeCell ref="F109:F117"/>
    <mergeCell ref="E231:E239"/>
    <mergeCell ref="E240:E248"/>
    <mergeCell ref="E249:E255"/>
    <mergeCell ref="E256:E262"/>
    <mergeCell ref="E263:E269"/>
    <mergeCell ref="F188:F194"/>
    <mergeCell ref="F195:F201"/>
    <mergeCell ref="F202:F206"/>
    <mergeCell ref="F207:F211"/>
    <mergeCell ref="F212:F216"/>
    <mergeCell ref="F155:F161"/>
    <mergeCell ref="F162:F168"/>
    <mergeCell ref="F169:F175"/>
    <mergeCell ref="F176:F180"/>
    <mergeCell ref="F181:F187"/>
    <mergeCell ref="F286:F292"/>
    <mergeCell ref="F249:F255"/>
    <mergeCell ref="F256:F262"/>
    <mergeCell ref="F263:F269"/>
    <mergeCell ref="F270:F278"/>
    <mergeCell ref="F279:F285"/>
    <mergeCell ref="F217:F223"/>
    <mergeCell ref="F224:F230"/>
    <mergeCell ref="F231:F239"/>
    <mergeCell ref="F240:F248"/>
    <mergeCell ref="D263:D269"/>
    <mergeCell ref="D270:D278"/>
    <mergeCell ref="D279:D285"/>
    <mergeCell ref="D286:D292"/>
    <mergeCell ref="D224:D230"/>
    <mergeCell ref="D231:D239"/>
    <mergeCell ref="D240:D248"/>
    <mergeCell ref="D249:D255"/>
    <mergeCell ref="D256:D262"/>
    <mergeCell ref="C217:C223"/>
    <mergeCell ref="C224:C230"/>
    <mergeCell ref="C231:C239"/>
    <mergeCell ref="C240:C248"/>
  </mergeCells>
  <pageMargins left="0.25" right="0.25" top="0.75" bottom="0.75" header="0.3" footer="0.3"/>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sheetPr codeName="Leht4"/>
  <dimension ref="A2:L26"/>
  <sheetViews>
    <sheetView topLeftCell="A15" zoomScale="90" zoomScaleNormal="90" workbookViewId="0">
      <selection activeCell="I13" sqref="I13"/>
    </sheetView>
  </sheetViews>
  <sheetFormatPr defaultColWidth="8.7109375" defaultRowHeight="15" x14ac:dyDescent="0.25"/>
  <cols>
    <col min="1" max="1" width="52.28515625" style="39" customWidth="1"/>
    <col min="2" max="5" width="11.7109375" style="39" customWidth="1"/>
    <col min="6" max="12" width="14.5703125" style="39" customWidth="1"/>
    <col min="13" max="16384" width="8.7109375" style="39"/>
  </cols>
  <sheetData>
    <row r="2" spans="1:12" ht="15.75" thickBot="1" x14ac:dyDescent="0.3"/>
    <row r="3" spans="1:12" ht="180.75" thickBot="1" x14ac:dyDescent="0.3">
      <c r="A3" s="40" t="s">
        <v>563</v>
      </c>
      <c r="B3" s="41" t="s">
        <v>299</v>
      </c>
      <c r="C3" s="41">
        <v>2023</v>
      </c>
      <c r="D3" s="41">
        <v>2024</v>
      </c>
      <c r="E3" s="41">
        <v>2025</v>
      </c>
      <c r="F3" s="102" t="s">
        <v>564</v>
      </c>
      <c r="G3" s="103" t="s">
        <v>565</v>
      </c>
      <c r="H3" s="103" t="s">
        <v>566</v>
      </c>
      <c r="I3" s="103" t="s">
        <v>567</v>
      </c>
      <c r="J3" s="103" t="s">
        <v>568</v>
      </c>
      <c r="K3" s="103" t="s">
        <v>569</v>
      </c>
      <c r="L3" s="104" t="s">
        <v>570</v>
      </c>
    </row>
    <row r="4" spans="1:12" x14ac:dyDescent="0.25">
      <c r="A4" s="42" t="s">
        <v>571</v>
      </c>
      <c r="B4" s="43"/>
      <c r="C4" s="43"/>
      <c r="D4" s="44"/>
      <c r="E4" s="44"/>
      <c r="L4" s="45"/>
    </row>
    <row r="5" spans="1:12" ht="24" x14ac:dyDescent="0.25">
      <c r="A5" s="70" t="s">
        <v>9</v>
      </c>
      <c r="B5" s="101">
        <f>SUM(C5:E5)</f>
        <v>9226989.3200000003</v>
      </c>
      <c r="C5" s="46">
        <f>Tegevuskava!D29+Tegevuskava!L29</f>
        <v>0</v>
      </c>
      <c r="D5" s="46">
        <f>Tegevuskava!E29+Tegevuskava!M29</f>
        <v>3700479.6</v>
      </c>
      <c r="E5" s="46">
        <f>Tegevuskava!F29+Tegevuskava!N29</f>
        <v>5526509.7199999997</v>
      </c>
      <c r="F5" s="47" t="s">
        <v>572</v>
      </c>
      <c r="G5" s="47" t="s">
        <v>572</v>
      </c>
      <c r="H5" s="47" t="s">
        <v>572</v>
      </c>
      <c r="I5" s="47" t="s">
        <v>572</v>
      </c>
      <c r="J5" s="47" t="s">
        <v>572</v>
      </c>
      <c r="K5" s="47" t="s">
        <v>572</v>
      </c>
      <c r="L5" s="48" t="s">
        <v>572</v>
      </c>
    </row>
    <row r="6" spans="1:12" ht="24" x14ac:dyDescent="0.25">
      <c r="A6" s="70" t="s">
        <v>552</v>
      </c>
      <c r="B6" s="101">
        <f t="shared" ref="B6:B8" si="0">SUM(C6:E6)</f>
        <v>0</v>
      </c>
      <c r="C6" s="46">
        <f>Tegevuskava!D30+Tegevuskava!L30</f>
        <v>0</v>
      </c>
      <c r="D6" s="46">
        <f>Tegevuskava!E30+Tegevuskava!M30</f>
        <v>0</v>
      </c>
      <c r="E6" s="46">
        <f>Tegevuskava!F30+Tegevuskava!N30</f>
        <v>0</v>
      </c>
      <c r="F6" s="47" t="s">
        <v>572</v>
      </c>
      <c r="G6" s="47" t="s">
        <v>572</v>
      </c>
      <c r="H6" s="47" t="s">
        <v>572</v>
      </c>
      <c r="I6" s="47" t="s">
        <v>572</v>
      </c>
      <c r="J6" s="47" t="s">
        <v>572</v>
      </c>
      <c r="K6" s="47" t="s">
        <v>572</v>
      </c>
      <c r="L6" s="48" t="s">
        <v>572</v>
      </c>
    </row>
    <row r="7" spans="1:12" ht="36" x14ac:dyDescent="0.25">
      <c r="A7" s="70" t="s">
        <v>553</v>
      </c>
      <c r="B7" s="101">
        <f t="shared" si="0"/>
        <v>398806</v>
      </c>
      <c r="C7" s="46">
        <f>Tegevuskava!D31+Tegevuskava!L31</f>
        <v>18646</v>
      </c>
      <c r="D7" s="46">
        <f>Tegevuskava!E31+Tegevuskava!M31</f>
        <v>299880</v>
      </c>
      <c r="E7" s="46">
        <f>Tegevuskava!F31+Tegevuskava!N31</f>
        <v>80280</v>
      </c>
      <c r="F7" s="47" t="s">
        <v>572</v>
      </c>
      <c r="G7" s="47" t="s">
        <v>572</v>
      </c>
      <c r="H7" s="47" t="s">
        <v>572</v>
      </c>
      <c r="I7" s="47" t="s">
        <v>572</v>
      </c>
      <c r="J7" s="47" t="s">
        <v>572</v>
      </c>
      <c r="K7" s="47" t="s">
        <v>572</v>
      </c>
      <c r="L7" s="48" t="s">
        <v>572</v>
      </c>
    </row>
    <row r="8" spans="1:12" ht="24.75" thickBot="1" x14ac:dyDescent="0.3">
      <c r="A8" s="71" t="s">
        <v>554</v>
      </c>
      <c r="B8" s="101">
        <f t="shared" si="0"/>
        <v>434136</v>
      </c>
      <c r="C8" s="46">
        <f>Tegevuskava!D32+Tegevuskava!L32</f>
        <v>0</v>
      </c>
      <c r="D8" s="46">
        <f>Tegevuskava!E32+Tegevuskava!M32</f>
        <v>210336</v>
      </c>
      <c r="E8" s="46">
        <f>Tegevuskava!F32+Tegevuskava!N32</f>
        <v>223800</v>
      </c>
      <c r="F8" s="47" t="s">
        <v>572</v>
      </c>
      <c r="G8" s="47" t="s">
        <v>572</v>
      </c>
      <c r="H8" s="47" t="s">
        <v>572</v>
      </c>
      <c r="I8" s="47" t="s">
        <v>572</v>
      </c>
      <c r="J8" s="47" t="s">
        <v>572</v>
      </c>
      <c r="K8" s="47" t="s">
        <v>572</v>
      </c>
      <c r="L8" s="48" t="s">
        <v>572</v>
      </c>
    </row>
    <row r="9" spans="1:12" ht="15.75" thickBot="1" x14ac:dyDescent="0.3">
      <c r="A9" s="49" t="s">
        <v>573</v>
      </c>
      <c r="B9" s="100">
        <f>SUM(B5:B8)</f>
        <v>10059931.32</v>
      </c>
      <c r="C9" s="100">
        <f>SUM(C5:C8)</f>
        <v>18646</v>
      </c>
      <c r="D9" s="100">
        <f>SUM(D5:D8)</f>
        <v>4210695.5999999996</v>
      </c>
      <c r="E9" s="100">
        <f>SUM(E5:E8)</f>
        <v>5830589.7199999997</v>
      </c>
      <c r="F9" s="50"/>
      <c r="G9" s="50"/>
      <c r="H9" s="50"/>
      <c r="I9" s="50"/>
      <c r="J9" s="50"/>
      <c r="K9" s="50"/>
      <c r="L9" s="51"/>
    </row>
    <row r="10" spans="1:12" ht="15.75" thickBot="1" x14ac:dyDescent="0.3"/>
    <row r="11" spans="1:12" x14ac:dyDescent="0.25">
      <c r="A11" s="52" t="s">
        <v>27</v>
      </c>
      <c r="B11" s="747" t="s">
        <v>28</v>
      </c>
      <c r="C11" s="748"/>
      <c r="D11" s="748"/>
      <c r="E11" s="748"/>
      <c r="F11" s="748"/>
      <c r="G11" s="748"/>
      <c r="H11" s="748"/>
      <c r="I11" s="799"/>
    </row>
    <row r="12" spans="1:12" ht="30" x14ac:dyDescent="0.25">
      <c r="A12" s="53" t="s">
        <v>31</v>
      </c>
      <c r="B12" s="105" t="s">
        <v>574</v>
      </c>
      <c r="C12" s="106" t="s">
        <v>575</v>
      </c>
      <c r="D12" s="106" t="s">
        <v>576</v>
      </c>
      <c r="E12" s="106" t="s">
        <v>577</v>
      </c>
      <c r="F12" s="106" t="s">
        <v>578</v>
      </c>
      <c r="G12" s="106" t="s">
        <v>579</v>
      </c>
      <c r="H12" s="106" t="s">
        <v>580</v>
      </c>
      <c r="I12" s="107" t="s">
        <v>581</v>
      </c>
    </row>
    <row r="13" spans="1:12" ht="15.75" thickBot="1" x14ac:dyDescent="0.3">
      <c r="A13" s="54" t="s">
        <v>40</v>
      </c>
      <c r="B13" s="108">
        <f>'kuni 2025 detsember tegevuskava'!B19</f>
        <v>0</v>
      </c>
      <c r="C13" s="108">
        <f>'kuni 2025 detsember tegevuskava'!C19</f>
        <v>0</v>
      </c>
      <c r="D13" s="108">
        <f>'kuni 2025 detsember tegevuskava'!D19</f>
        <v>0</v>
      </c>
      <c r="E13" s="108">
        <f>'kuni 2025 detsember tegevuskava'!E19</f>
        <v>0</v>
      </c>
      <c r="F13" s="108">
        <f>'kuni 2025 detsember tegevuskava'!F19</f>
        <v>0</v>
      </c>
      <c r="G13" s="108">
        <f>'kuni 2025 detsember tegevuskava'!G19</f>
        <v>0</v>
      </c>
      <c r="H13" s="108">
        <f>'kuni 2025 detsember tegevuskava'!H19</f>
        <v>0</v>
      </c>
      <c r="I13" s="109">
        <f>'kuni 2025 detsember tegevuskava'!I19</f>
        <v>1756500</v>
      </c>
    </row>
    <row r="14" spans="1:12" x14ac:dyDescent="0.25">
      <c r="A14" s="52" t="s">
        <v>42</v>
      </c>
      <c r="B14" s="747" t="s">
        <v>43</v>
      </c>
      <c r="C14" s="748"/>
      <c r="D14" s="748"/>
      <c r="E14" s="748"/>
      <c r="F14" s="748"/>
      <c r="G14" s="748"/>
      <c r="H14" s="748"/>
      <c r="I14" s="799"/>
    </row>
    <row r="15" spans="1:12" ht="30" x14ac:dyDescent="0.25">
      <c r="A15" s="53" t="s">
        <v>31</v>
      </c>
      <c r="B15" s="105" t="s">
        <v>574</v>
      </c>
      <c r="C15" s="106" t="s">
        <v>575</v>
      </c>
      <c r="D15" s="106" t="s">
        <v>576</v>
      </c>
      <c r="E15" s="106" t="s">
        <v>577</v>
      </c>
      <c r="F15" s="106" t="s">
        <v>578</v>
      </c>
      <c r="G15" s="106" t="s">
        <v>579</v>
      </c>
      <c r="H15" s="106" t="s">
        <v>580</v>
      </c>
      <c r="I15" s="107" t="s">
        <v>581</v>
      </c>
    </row>
    <row r="16" spans="1:12" ht="15.75" thickBot="1" x14ac:dyDescent="0.3">
      <c r="A16" s="54" t="s">
        <v>40</v>
      </c>
      <c r="B16" s="108">
        <f>'kuni 2025 detsember tegevuskava'!B22</f>
        <v>0</v>
      </c>
      <c r="C16" s="108">
        <f>'kuni 2025 detsember tegevuskava'!C22</f>
        <v>0</v>
      </c>
      <c r="D16" s="108">
        <f>'kuni 2025 detsember tegevuskava'!D22</f>
        <v>4</v>
      </c>
      <c r="E16" s="108">
        <f>'kuni 2025 detsember tegevuskava'!E22</f>
        <v>5</v>
      </c>
      <c r="F16" s="108">
        <f>'kuni 2025 detsember tegevuskava'!F22</f>
        <v>6</v>
      </c>
      <c r="G16" s="108">
        <f>'kuni 2025 detsember tegevuskava'!G22</f>
        <v>0</v>
      </c>
      <c r="H16" s="108">
        <f>'kuni 2025 detsember tegevuskava'!H22</f>
        <v>0</v>
      </c>
      <c r="I16" s="109">
        <f>'kuni 2025 detsember tegevuskava'!I22</f>
        <v>20</v>
      </c>
    </row>
    <row r="17" spans="1:9" x14ac:dyDescent="0.25">
      <c r="A17" s="52" t="s">
        <v>42</v>
      </c>
      <c r="B17" s="747" t="s">
        <v>47</v>
      </c>
      <c r="C17" s="748"/>
      <c r="D17" s="748"/>
      <c r="E17" s="748"/>
      <c r="F17" s="748"/>
      <c r="G17" s="748"/>
      <c r="H17" s="748"/>
      <c r="I17" s="799"/>
    </row>
    <row r="18" spans="1:9" ht="30" x14ac:dyDescent="0.25">
      <c r="A18" s="53" t="s">
        <v>31</v>
      </c>
      <c r="B18" s="105" t="s">
        <v>574</v>
      </c>
      <c r="C18" s="106" t="s">
        <v>575</v>
      </c>
      <c r="D18" s="106" t="s">
        <v>576</v>
      </c>
      <c r="E18" s="106" t="s">
        <v>577</v>
      </c>
      <c r="F18" s="106" t="s">
        <v>578</v>
      </c>
      <c r="G18" s="106" t="s">
        <v>579</v>
      </c>
      <c r="H18" s="106" t="s">
        <v>580</v>
      </c>
      <c r="I18" s="107" t="s">
        <v>581</v>
      </c>
    </row>
    <row r="19" spans="1:9" x14ac:dyDescent="0.25">
      <c r="A19" s="371" t="s">
        <v>40</v>
      </c>
      <c r="B19" s="387">
        <f>'kuni 2025 detsember tegevuskava'!B25</f>
        <v>0</v>
      </c>
      <c r="C19" s="387">
        <f>'kuni 2025 detsember tegevuskava'!C25</f>
        <v>4</v>
      </c>
      <c r="D19" s="387">
        <f>'kuni 2025 detsember tegevuskava'!D25</f>
        <v>4</v>
      </c>
      <c r="E19" s="387">
        <f>'kuni 2025 detsember tegevuskava'!E25</f>
        <v>4</v>
      </c>
      <c r="F19" s="387">
        <f>'kuni 2025 detsember tegevuskava'!F25</f>
        <v>4</v>
      </c>
      <c r="G19" s="387">
        <f>'kuni 2025 detsember tegevuskava'!G25</f>
        <v>4</v>
      </c>
      <c r="H19" s="387">
        <f>'kuni 2025 detsember tegevuskava'!H25</f>
        <v>4</v>
      </c>
      <c r="I19" s="388">
        <f>'kuni 2025 detsember tegevuskava'!I25</f>
        <v>0</v>
      </c>
    </row>
    <row r="20" spans="1:9" ht="30" x14ac:dyDescent="0.25">
      <c r="A20" s="362" t="s">
        <v>51</v>
      </c>
      <c r="B20" s="760" t="s">
        <v>52</v>
      </c>
      <c r="C20" s="800"/>
      <c r="D20" s="800"/>
      <c r="E20" s="800"/>
      <c r="F20" s="800"/>
      <c r="G20" s="800"/>
      <c r="H20" s="800"/>
      <c r="I20" s="801"/>
    </row>
    <row r="21" spans="1:9" ht="30" x14ac:dyDescent="0.25">
      <c r="A21" s="363" t="s">
        <v>31</v>
      </c>
      <c r="B21" s="105" t="s">
        <v>574</v>
      </c>
      <c r="C21" s="106" t="s">
        <v>575</v>
      </c>
      <c r="D21" s="106" t="s">
        <v>576</v>
      </c>
      <c r="E21" s="106" t="s">
        <v>577</v>
      </c>
      <c r="F21" s="106" t="s">
        <v>578</v>
      </c>
      <c r="G21" s="106" t="s">
        <v>579</v>
      </c>
      <c r="H21" s="106" t="s">
        <v>580</v>
      </c>
      <c r="I21" s="364" t="s">
        <v>581</v>
      </c>
    </row>
    <row r="22" spans="1:9" x14ac:dyDescent="0.25">
      <c r="A22" s="365" t="s">
        <v>40</v>
      </c>
      <c r="B22" s="385" t="str">
        <f>'kuni 2025 detsember tegevuskava'!B28&amp;"%"</f>
        <v>69%</v>
      </c>
      <c r="C22" s="385" t="str">
        <f>'kuni 2025 detsember tegevuskava'!C28&amp;"%"</f>
        <v>69%</v>
      </c>
      <c r="D22" s="385" t="str">
        <f>'kuni 2025 detsember tegevuskava'!D28&amp;"%"</f>
        <v>73%</v>
      </c>
      <c r="E22" s="385" t="str">
        <f>'kuni 2025 detsember tegevuskava'!E28&amp;"%"</f>
        <v>76%</v>
      </c>
      <c r="F22" s="385" t="str">
        <f>'kuni 2025 detsember tegevuskava'!F28&amp;"%"</f>
        <v>79%</v>
      </c>
      <c r="G22" s="385" t="str">
        <f>'kuni 2025 detsember tegevuskava'!G28&amp;"%"</f>
        <v>83%</v>
      </c>
      <c r="H22" s="385" t="str">
        <f>'kuni 2025 detsember tegevuskava'!H28&amp;"%"</f>
        <v>87%</v>
      </c>
      <c r="I22" s="386" t="str">
        <f>'kuni 2025 detsember tegevuskava'!I28&amp;"%"</f>
        <v>90%</v>
      </c>
    </row>
    <row r="25" spans="1:9" x14ac:dyDescent="0.25">
      <c r="A25" s="55"/>
    </row>
    <row r="26" spans="1:9" x14ac:dyDescent="0.25">
      <c r="A26" s="55"/>
    </row>
  </sheetData>
  <sheetProtection algorithmName="SHA-512" hashValue="rblXkiHsBGKuIMRHffaQSqfl5xIQAur6NrZkwspYIsIesiC2gjLQ1bSFVdn4MRhQofSxfA9oBFeaKVLUywrpzA==" saltValue="ODoSOQfks/93GO0NgjC2lQ=="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sheetPr codeName="Leht5"/>
  <dimension ref="A2:I141"/>
  <sheetViews>
    <sheetView topLeftCell="A124" zoomScale="85" zoomScaleNormal="85" workbookViewId="0">
      <selection activeCell="G60" sqref="G60"/>
    </sheetView>
  </sheetViews>
  <sheetFormatPr defaultColWidth="9.28515625" defaultRowHeight="15" x14ac:dyDescent="0.25"/>
  <cols>
    <col min="1" max="1" width="9.28515625" style="1"/>
    <col min="2" max="2" width="41.42578125" style="1" customWidth="1"/>
    <col min="3" max="5" width="18" style="1" customWidth="1"/>
    <col min="6" max="6" width="15.42578125" style="1" customWidth="1"/>
    <col min="7" max="7" width="12.28515625" style="1" customWidth="1"/>
    <col min="8" max="8" width="12.7109375" style="1" customWidth="1"/>
    <col min="9" max="9" width="11.7109375" style="1" customWidth="1"/>
    <col min="10" max="10" width="11.42578125" style="1" customWidth="1"/>
    <col min="11" max="11" width="13.28515625" style="1" customWidth="1"/>
    <col min="12" max="12" width="11.7109375" style="1" customWidth="1"/>
    <col min="13" max="22" width="9.28515625" style="1"/>
    <col min="23" max="23" width="12.42578125" style="1" bestFit="1" customWidth="1"/>
    <col min="24" max="16384" width="9.28515625" style="1"/>
  </cols>
  <sheetData>
    <row r="2" spans="1:8" ht="18.75" x14ac:dyDescent="0.25">
      <c r="A2" s="110" t="s">
        <v>311</v>
      </c>
      <c r="B2" s="110"/>
    </row>
    <row r="4" spans="1:8" x14ac:dyDescent="0.25">
      <c r="B4" s="172" t="s">
        <v>582</v>
      </c>
      <c r="C4" s="802" t="s">
        <v>583</v>
      </c>
      <c r="D4" s="802"/>
      <c r="E4" s="802"/>
      <c r="F4" s="802"/>
    </row>
    <row r="5" spans="1:8" x14ac:dyDescent="0.25">
      <c r="B5" s="172"/>
      <c r="C5" s="171" t="s">
        <v>584</v>
      </c>
      <c r="D5" s="171" t="s">
        <v>585</v>
      </c>
      <c r="E5" s="171" t="s">
        <v>586</v>
      </c>
      <c r="F5" s="171" t="s">
        <v>587</v>
      </c>
    </row>
    <row r="6" spans="1:8" x14ac:dyDescent="0.25">
      <c r="B6" s="172" t="s">
        <v>588</v>
      </c>
      <c r="C6" s="173">
        <f>SUM(C7:C9)</f>
        <v>48370008</v>
      </c>
      <c r="D6" s="173">
        <f t="shared" ref="D6:E6" si="0">SUM(D7:D9)</f>
        <v>36610725</v>
      </c>
      <c r="E6" s="173">
        <f t="shared" si="0"/>
        <v>11759283</v>
      </c>
      <c r="F6" s="174">
        <f>SUM(D6/C6)</f>
        <v>0.75688895895985797</v>
      </c>
    </row>
    <row r="7" spans="1:8" x14ac:dyDescent="0.25">
      <c r="B7" s="151" t="s">
        <v>589</v>
      </c>
      <c r="C7" s="175">
        <v>29518955</v>
      </c>
      <c r="D7" s="175">
        <v>23814308</v>
      </c>
      <c r="E7" s="175">
        <v>5704647</v>
      </c>
      <c r="F7" s="176">
        <f>SUM(D7/C7)</f>
        <v>0.80674630927822477</v>
      </c>
      <c r="G7" s="111"/>
      <c r="H7" s="112"/>
    </row>
    <row r="8" spans="1:8" x14ac:dyDescent="0.25">
      <c r="B8" s="151" t="s">
        <v>590</v>
      </c>
      <c r="C8" s="175">
        <v>11585489</v>
      </c>
      <c r="D8" s="175">
        <v>6779339</v>
      </c>
      <c r="E8" s="175">
        <v>4806150</v>
      </c>
      <c r="F8" s="176">
        <f>SUM(D8/C8)</f>
        <v>0.5851577779755347</v>
      </c>
      <c r="G8" s="111"/>
    </row>
    <row r="9" spans="1:8" x14ac:dyDescent="0.25">
      <c r="B9" s="151" t="s">
        <v>591</v>
      </c>
      <c r="C9" s="175">
        <v>7265564</v>
      </c>
      <c r="D9" s="175">
        <v>6017078</v>
      </c>
      <c r="E9" s="175">
        <v>1248486</v>
      </c>
      <c r="F9" s="176">
        <f>SUM(D9/C9)</f>
        <v>0.82816392505798586</v>
      </c>
    </row>
    <row r="18" spans="2:6" x14ac:dyDescent="0.25">
      <c r="B18" s="804" t="s">
        <v>592</v>
      </c>
      <c r="C18" s="802" t="s">
        <v>583</v>
      </c>
      <c r="D18" s="802"/>
      <c r="E18" s="802"/>
      <c r="F18" s="802"/>
    </row>
    <row r="19" spans="2:6" x14ac:dyDescent="0.25">
      <c r="B19" s="804"/>
      <c r="C19" s="171" t="s">
        <v>584</v>
      </c>
      <c r="D19" s="171" t="s">
        <v>585</v>
      </c>
      <c r="E19" s="171" t="s">
        <v>586</v>
      </c>
      <c r="F19" s="171" t="s">
        <v>587</v>
      </c>
    </row>
    <row r="20" spans="2:6" x14ac:dyDescent="0.25">
      <c r="B20" s="172" t="s">
        <v>588</v>
      </c>
      <c r="C20" s="173">
        <f>SUM(C21:C24)</f>
        <v>48370008</v>
      </c>
      <c r="D20" s="173">
        <f t="shared" ref="D20:E20" si="1">SUM(D21:D24)</f>
        <v>36610725</v>
      </c>
      <c r="E20" s="173">
        <f t="shared" si="1"/>
        <v>11759283</v>
      </c>
      <c r="F20" s="174">
        <f>SUM(D20/C20)</f>
        <v>0.75688895895985797</v>
      </c>
    </row>
    <row r="21" spans="2:6" x14ac:dyDescent="0.25">
      <c r="B21" s="151" t="s">
        <v>593</v>
      </c>
      <c r="C21" s="175">
        <v>21811783</v>
      </c>
      <c r="D21" s="175">
        <v>14138453</v>
      </c>
      <c r="E21" s="175">
        <v>7673330</v>
      </c>
      <c r="F21" s="176">
        <f>SUM(D21/C21)</f>
        <v>0.64820253346551271</v>
      </c>
    </row>
    <row r="22" spans="2:6" x14ac:dyDescent="0.25">
      <c r="B22" s="151" t="s">
        <v>594</v>
      </c>
      <c r="C22" s="175">
        <v>14122519</v>
      </c>
      <c r="D22" s="175">
        <v>12216619</v>
      </c>
      <c r="E22" s="175">
        <v>1905900</v>
      </c>
      <c r="F22" s="176">
        <f>SUM(D22/C22)</f>
        <v>0.86504532229696418</v>
      </c>
    </row>
    <row r="23" spans="2:6" x14ac:dyDescent="0.25">
      <c r="B23" s="151" t="s">
        <v>595</v>
      </c>
      <c r="C23" s="175">
        <v>12435706</v>
      </c>
      <c r="D23" s="175">
        <v>10255653</v>
      </c>
      <c r="E23" s="175">
        <v>2180053</v>
      </c>
      <c r="F23" s="176">
        <f>SUM(D23/C23)</f>
        <v>0.82469407044521637</v>
      </c>
    </row>
    <row r="24" spans="2:6" x14ac:dyDescent="0.25">
      <c r="B24" s="151" t="s">
        <v>596</v>
      </c>
      <c r="C24" s="175"/>
      <c r="D24" s="175"/>
      <c r="E24" s="175"/>
      <c r="F24" s="176" t="e">
        <f>SUM(D24/C24)</f>
        <v>#DIV/0!</v>
      </c>
    </row>
    <row r="33" spans="1:3" ht="18.75" x14ac:dyDescent="0.25">
      <c r="A33" s="110" t="s">
        <v>597</v>
      </c>
      <c r="B33" s="110"/>
    </row>
    <row r="35" spans="1:3" x14ac:dyDescent="0.25">
      <c r="B35" s="177" t="s">
        <v>598</v>
      </c>
      <c r="C35" s="171">
        <v>2024</v>
      </c>
    </row>
    <row r="36" spans="1:3" x14ac:dyDescent="0.25">
      <c r="B36" s="177" t="s">
        <v>299</v>
      </c>
      <c r="C36" s="173">
        <f>SUM(C37:C39)</f>
        <v>48167694</v>
      </c>
    </row>
    <row r="37" spans="1:3" x14ac:dyDescent="0.25">
      <c r="B37" s="151" t="s">
        <v>589</v>
      </c>
      <c r="C37" s="175">
        <v>28053767</v>
      </c>
    </row>
    <row r="38" spans="1:3" x14ac:dyDescent="0.25">
      <c r="B38" s="151" t="s">
        <v>590</v>
      </c>
      <c r="C38" s="175">
        <v>9915235</v>
      </c>
    </row>
    <row r="39" spans="1:3" x14ac:dyDescent="0.25">
      <c r="B39" s="151" t="s">
        <v>591</v>
      </c>
      <c r="C39" s="175">
        <v>10198692</v>
      </c>
    </row>
    <row r="41" spans="1:3" x14ac:dyDescent="0.25">
      <c r="B41" s="177" t="s">
        <v>599</v>
      </c>
      <c r="C41" s="171">
        <v>2024</v>
      </c>
    </row>
    <row r="42" spans="1:3" x14ac:dyDescent="0.25">
      <c r="B42" s="177" t="s">
        <v>299</v>
      </c>
      <c r="C42" s="173">
        <f>SUM(C43:C46)</f>
        <v>48167702</v>
      </c>
    </row>
    <row r="43" spans="1:3" x14ac:dyDescent="0.25">
      <c r="B43" s="151" t="s">
        <v>593</v>
      </c>
      <c r="C43" s="175">
        <v>22103253</v>
      </c>
    </row>
    <row r="44" spans="1:3" x14ac:dyDescent="0.25">
      <c r="B44" s="151" t="s">
        <v>594</v>
      </c>
      <c r="C44" s="175">
        <v>12925937</v>
      </c>
    </row>
    <row r="45" spans="1:3" x14ac:dyDescent="0.25">
      <c r="B45" s="151" t="s">
        <v>595</v>
      </c>
      <c r="C45" s="175">
        <v>13138504</v>
      </c>
    </row>
    <row r="46" spans="1:3" x14ac:dyDescent="0.25">
      <c r="B46" s="151" t="s">
        <v>596</v>
      </c>
      <c r="C46" s="175">
        <v>8</v>
      </c>
    </row>
    <row r="49" spans="1:9" ht="18.75" x14ac:dyDescent="0.25">
      <c r="A49" s="110" t="s">
        <v>600</v>
      </c>
    </row>
    <row r="51" spans="1:9" x14ac:dyDescent="0.25">
      <c r="B51" s="122"/>
      <c r="C51" s="180"/>
      <c r="D51" s="180"/>
    </row>
    <row r="52" spans="1:9" x14ac:dyDescent="0.25">
      <c r="B52" s="504" t="s">
        <v>601</v>
      </c>
      <c r="C52" s="505">
        <v>44197</v>
      </c>
      <c r="D52" s="505">
        <v>44562</v>
      </c>
      <c r="E52" s="505">
        <v>44927</v>
      </c>
      <c r="F52" s="505">
        <v>45292</v>
      </c>
      <c r="G52" s="506" t="s">
        <v>602</v>
      </c>
      <c r="H52" s="506" t="s">
        <v>603</v>
      </c>
      <c r="I52" s="506" t="s">
        <v>604</v>
      </c>
    </row>
    <row r="53" spans="1:9" x14ac:dyDescent="0.25">
      <c r="B53" s="507" t="s">
        <v>605</v>
      </c>
      <c r="C53" s="508">
        <v>124</v>
      </c>
      <c r="D53" s="508">
        <v>157</v>
      </c>
      <c r="E53" s="508">
        <v>182</v>
      </c>
      <c r="F53" s="508">
        <v>204</v>
      </c>
      <c r="G53" s="508">
        <v>220</v>
      </c>
      <c r="H53" s="508">
        <v>225</v>
      </c>
      <c r="I53" s="508">
        <v>230</v>
      </c>
    </row>
    <row r="54" spans="1:9" x14ac:dyDescent="0.25">
      <c r="B54" s="509" t="s">
        <v>606</v>
      </c>
      <c r="C54" s="510">
        <v>0</v>
      </c>
      <c r="D54" s="511">
        <f t="shared" ref="D54:I54" si="2">SUM(((D53/C53)*100)-100)</f>
        <v>26.612903225806448</v>
      </c>
      <c r="E54" s="511">
        <f t="shared" si="2"/>
        <v>15.923566878980893</v>
      </c>
      <c r="F54" s="511">
        <f t="shared" si="2"/>
        <v>12.087912087912088</v>
      </c>
      <c r="G54" s="511">
        <f t="shared" si="2"/>
        <v>7.8431372549019613</v>
      </c>
      <c r="H54" s="511">
        <f t="shared" si="2"/>
        <v>2.2727272727272663</v>
      </c>
      <c r="I54" s="511">
        <f t="shared" si="2"/>
        <v>2.2222222222222143</v>
      </c>
    </row>
    <row r="55" spans="1:9" x14ac:dyDescent="0.25">
      <c r="B55" s="805" t="s">
        <v>607</v>
      </c>
      <c r="C55" s="805"/>
      <c r="D55" s="805"/>
      <c r="E55" s="805"/>
      <c r="F55" s="805"/>
      <c r="G55" s="805"/>
      <c r="H55" s="805"/>
      <c r="I55" s="806"/>
    </row>
    <row r="56" spans="1:9" x14ac:dyDescent="0.25">
      <c r="B56" s="181"/>
      <c r="C56" s="181"/>
      <c r="D56" s="181"/>
      <c r="E56" s="181"/>
      <c r="F56" s="181"/>
      <c r="G56" s="181"/>
      <c r="H56" s="181"/>
    </row>
    <row r="57" spans="1:9" x14ac:dyDescent="0.25">
      <c r="B57" s="181"/>
      <c r="C57" s="181"/>
      <c r="D57" s="181"/>
      <c r="E57" s="181"/>
      <c r="F57" s="181"/>
      <c r="G57" s="181"/>
      <c r="H57" s="181"/>
    </row>
    <row r="58" spans="1:9" x14ac:dyDescent="0.25">
      <c r="B58" s="181"/>
      <c r="C58" s="181"/>
      <c r="D58" s="181"/>
      <c r="E58" s="185"/>
      <c r="F58" s="185"/>
      <c r="G58" s="185"/>
      <c r="H58" s="185"/>
      <c r="I58" s="185"/>
    </row>
    <row r="59" spans="1:9" x14ac:dyDescent="0.25">
      <c r="B59" s="181"/>
      <c r="C59" s="181"/>
      <c r="D59" s="181"/>
      <c r="E59" s="181"/>
      <c r="F59" s="181"/>
      <c r="G59" s="181"/>
      <c r="H59" s="181"/>
    </row>
    <row r="60" spans="1:9" x14ac:dyDescent="0.25">
      <c r="B60" s="181"/>
      <c r="C60" s="181"/>
      <c r="D60" s="181"/>
      <c r="E60" s="181"/>
      <c r="F60" s="181"/>
      <c r="G60" s="181"/>
      <c r="H60" s="181"/>
    </row>
    <row r="61" spans="1:9" x14ac:dyDescent="0.25">
      <c r="B61" s="181"/>
      <c r="C61" s="181"/>
      <c r="D61" s="181"/>
      <c r="E61" s="181"/>
      <c r="F61" s="181"/>
      <c r="G61" s="181"/>
      <c r="H61" s="181"/>
    </row>
    <row r="62" spans="1:9" x14ac:dyDescent="0.25">
      <c r="B62" s="181"/>
      <c r="C62" s="181"/>
      <c r="D62" s="181"/>
      <c r="E62" s="181"/>
      <c r="F62" s="181"/>
      <c r="G62" s="181"/>
      <c r="H62" s="181"/>
    </row>
    <row r="63" spans="1:9" x14ac:dyDescent="0.25">
      <c r="B63" s="181"/>
      <c r="C63" s="181"/>
      <c r="D63" s="181"/>
      <c r="E63" s="181"/>
      <c r="F63" s="181"/>
      <c r="G63" s="181"/>
      <c r="H63" s="181"/>
    </row>
    <row r="64" spans="1:9" x14ac:dyDescent="0.25">
      <c r="B64" s="181"/>
      <c r="C64" s="181"/>
      <c r="D64" s="181"/>
      <c r="E64" s="181"/>
      <c r="F64" s="181"/>
      <c r="G64" s="181"/>
      <c r="H64" s="181"/>
    </row>
    <row r="65" spans="2:8" x14ac:dyDescent="0.25">
      <c r="B65" s="181"/>
      <c r="C65" s="181"/>
      <c r="D65" s="181"/>
      <c r="E65" s="181"/>
      <c r="F65" s="181"/>
      <c r="G65" s="181"/>
      <c r="H65" s="181"/>
    </row>
    <row r="66" spans="2:8" x14ac:dyDescent="0.25">
      <c r="B66" s="181"/>
      <c r="C66" s="181"/>
      <c r="D66" s="181"/>
      <c r="E66" s="181"/>
      <c r="F66" s="181"/>
      <c r="G66" s="181"/>
      <c r="H66" s="181"/>
    </row>
    <row r="67" spans="2:8" x14ac:dyDescent="0.25">
      <c r="B67" s="181"/>
      <c r="C67" s="181"/>
      <c r="D67" s="181"/>
      <c r="E67" s="181"/>
      <c r="F67" s="181"/>
      <c r="G67" s="181"/>
      <c r="H67" s="181"/>
    </row>
    <row r="68" spans="2:8" x14ac:dyDescent="0.25">
      <c r="B68" s="181"/>
      <c r="C68" s="181"/>
      <c r="D68" s="181"/>
      <c r="E68" s="181"/>
      <c r="F68" s="181"/>
      <c r="G68" s="181"/>
      <c r="H68" s="181"/>
    </row>
    <row r="69" spans="2:8" x14ac:dyDescent="0.25">
      <c r="B69" s="122"/>
      <c r="C69" s="802" t="s">
        <v>608</v>
      </c>
      <c r="D69" s="803"/>
      <c r="E69" s="803"/>
      <c r="F69" s="802" t="s">
        <v>609</v>
      </c>
      <c r="G69" s="803"/>
      <c r="H69" s="803"/>
    </row>
    <row r="70" spans="2:8" x14ac:dyDescent="0.25">
      <c r="B70" s="177" t="s">
        <v>610</v>
      </c>
      <c r="C70" s="182" t="s">
        <v>611</v>
      </c>
      <c r="D70" s="183" t="s">
        <v>612</v>
      </c>
      <c r="E70" s="183" t="s">
        <v>299</v>
      </c>
      <c r="F70" s="182" t="s">
        <v>611</v>
      </c>
      <c r="G70" s="183" t="s">
        <v>612</v>
      </c>
      <c r="H70" s="183" t="s">
        <v>299</v>
      </c>
    </row>
    <row r="71" spans="2:8" x14ac:dyDescent="0.25">
      <c r="B71" s="178" t="s">
        <v>299</v>
      </c>
      <c r="C71" s="179">
        <f t="shared" ref="C71:H71" si="3">SUM(C72:C86)</f>
        <v>183</v>
      </c>
      <c r="D71" s="179">
        <f t="shared" si="3"/>
        <v>26</v>
      </c>
      <c r="E71" s="179">
        <f t="shared" si="3"/>
        <v>207</v>
      </c>
      <c r="F71" s="179">
        <f t="shared" si="3"/>
        <v>204</v>
      </c>
      <c r="G71" s="179">
        <f t="shared" si="3"/>
        <v>17</v>
      </c>
      <c r="H71" s="179">
        <f t="shared" si="3"/>
        <v>221</v>
      </c>
    </row>
    <row r="72" spans="2:8" x14ac:dyDescent="0.25">
      <c r="B72" s="152" t="s">
        <v>613</v>
      </c>
      <c r="C72" s="175">
        <v>4</v>
      </c>
      <c r="D72" s="175"/>
      <c r="E72" s="163">
        <v>4</v>
      </c>
      <c r="F72" s="175">
        <v>4</v>
      </c>
      <c r="G72" s="175">
        <v>1</v>
      </c>
      <c r="H72" s="163">
        <v>5</v>
      </c>
    </row>
    <row r="73" spans="2:8" x14ac:dyDescent="0.25">
      <c r="B73" s="152" t="s">
        <v>614</v>
      </c>
      <c r="C73" s="175">
        <v>4</v>
      </c>
      <c r="D73" s="175">
        <v>2</v>
      </c>
      <c r="E73" s="163">
        <v>6</v>
      </c>
      <c r="F73" s="175">
        <v>7</v>
      </c>
      <c r="G73" s="175">
        <v>1</v>
      </c>
      <c r="H73" s="163">
        <v>8</v>
      </c>
    </row>
    <row r="74" spans="2:8" x14ac:dyDescent="0.25">
      <c r="B74" s="152" t="s">
        <v>615</v>
      </c>
      <c r="C74" s="175">
        <v>8</v>
      </c>
      <c r="D74" s="175"/>
      <c r="E74" s="163">
        <v>8</v>
      </c>
      <c r="F74" s="175">
        <v>7</v>
      </c>
      <c r="G74" s="175">
        <v>1</v>
      </c>
      <c r="H74" s="163">
        <v>8</v>
      </c>
    </row>
    <row r="75" spans="2:8" x14ac:dyDescent="0.25">
      <c r="B75" s="152" t="s">
        <v>616</v>
      </c>
      <c r="C75" s="175">
        <v>2</v>
      </c>
      <c r="D75" s="175"/>
      <c r="E75" s="163"/>
      <c r="F75" s="175"/>
      <c r="G75" s="175"/>
      <c r="H75" s="163"/>
    </row>
    <row r="76" spans="2:8" x14ac:dyDescent="0.25">
      <c r="B76" s="152" t="s">
        <v>617</v>
      </c>
      <c r="C76" s="175">
        <v>15</v>
      </c>
      <c r="D76" s="175"/>
      <c r="E76" s="163">
        <v>15</v>
      </c>
      <c r="F76" s="175">
        <v>21</v>
      </c>
      <c r="G76" s="175">
        <v>1</v>
      </c>
      <c r="H76" s="163">
        <v>22</v>
      </c>
    </row>
    <row r="77" spans="2:8" x14ac:dyDescent="0.25">
      <c r="B77" s="152" t="s">
        <v>618</v>
      </c>
      <c r="C77" s="175"/>
      <c r="D77" s="175"/>
      <c r="E77" s="163">
        <v>0</v>
      </c>
      <c r="F77" s="175">
        <v>1</v>
      </c>
      <c r="G77" s="175"/>
      <c r="H77" s="163">
        <v>1</v>
      </c>
    </row>
    <row r="78" spans="2:8" x14ac:dyDescent="0.25">
      <c r="B78" s="152" t="s">
        <v>619</v>
      </c>
      <c r="C78" s="175">
        <v>31</v>
      </c>
      <c r="D78" s="175">
        <v>4</v>
      </c>
      <c r="E78" s="163">
        <v>35</v>
      </c>
      <c r="F78" s="175">
        <v>28</v>
      </c>
      <c r="G78" s="175">
        <v>4</v>
      </c>
      <c r="H78" s="163">
        <v>32</v>
      </c>
    </row>
    <row r="79" spans="2:8" x14ac:dyDescent="0.25">
      <c r="B79" s="152" t="s">
        <v>620</v>
      </c>
      <c r="C79" s="175">
        <v>45</v>
      </c>
      <c r="D79" s="175">
        <v>9</v>
      </c>
      <c r="E79" s="163">
        <v>54</v>
      </c>
      <c r="F79" s="175">
        <v>51</v>
      </c>
      <c r="G79" s="175">
        <v>3</v>
      </c>
      <c r="H79" s="163">
        <v>54</v>
      </c>
    </row>
    <row r="80" spans="2:8" x14ac:dyDescent="0.25">
      <c r="B80" s="152" t="s">
        <v>621</v>
      </c>
      <c r="C80" s="175">
        <v>13</v>
      </c>
      <c r="D80" s="175">
        <v>4</v>
      </c>
      <c r="E80" s="163">
        <v>17</v>
      </c>
      <c r="F80" s="175">
        <v>20</v>
      </c>
      <c r="G80" s="175"/>
      <c r="H80" s="163">
        <v>20</v>
      </c>
    </row>
    <row r="81" spans="2:8" x14ac:dyDescent="0.25">
      <c r="B81" s="152" t="s">
        <v>622</v>
      </c>
      <c r="C81" s="175">
        <v>11</v>
      </c>
      <c r="D81" s="175">
        <v>3</v>
      </c>
      <c r="E81" s="163">
        <v>14</v>
      </c>
      <c r="F81" s="175">
        <v>10</v>
      </c>
      <c r="G81" s="175">
        <v>3</v>
      </c>
      <c r="H81" s="163">
        <v>13</v>
      </c>
    </row>
    <row r="82" spans="2:8" x14ac:dyDescent="0.25">
      <c r="B82" s="152" t="s">
        <v>623</v>
      </c>
      <c r="C82" s="175">
        <v>4</v>
      </c>
      <c r="D82" s="175"/>
      <c r="E82" s="163">
        <v>4</v>
      </c>
      <c r="F82" s="175">
        <v>4</v>
      </c>
      <c r="G82" s="175"/>
      <c r="H82" s="163">
        <v>4</v>
      </c>
    </row>
    <row r="83" spans="2:8" x14ac:dyDescent="0.25">
      <c r="B83" s="152" t="s">
        <v>624</v>
      </c>
      <c r="C83" s="175">
        <v>30</v>
      </c>
      <c r="D83" s="175">
        <v>3</v>
      </c>
      <c r="E83" s="163">
        <v>33</v>
      </c>
      <c r="F83" s="175">
        <v>34</v>
      </c>
      <c r="G83" s="175"/>
      <c r="H83" s="163">
        <v>34</v>
      </c>
    </row>
    <row r="84" spans="2:8" x14ac:dyDescent="0.25">
      <c r="B84" s="152" t="s">
        <v>625</v>
      </c>
      <c r="C84" s="175">
        <v>11</v>
      </c>
      <c r="D84" s="175">
        <v>1</v>
      </c>
      <c r="E84" s="163">
        <v>12</v>
      </c>
      <c r="F84" s="175">
        <v>12</v>
      </c>
      <c r="G84" s="175">
        <v>3</v>
      </c>
      <c r="H84" s="163">
        <v>15</v>
      </c>
    </row>
    <row r="85" spans="2:8" x14ac:dyDescent="0.25">
      <c r="B85" s="152" t="s">
        <v>626</v>
      </c>
      <c r="C85" s="175">
        <v>5</v>
      </c>
      <c r="D85" s="175"/>
      <c r="E85" s="163">
        <v>5</v>
      </c>
      <c r="F85" s="175">
        <v>5</v>
      </c>
      <c r="G85" s="175"/>
      <c r="H85" s="163">
        <v>5</v>
      </c>
    </row>
    <row r="86" spans="2:8" x14ac:dyDescent="0.25">
      <c r="B86" s="152" t="s">
        <v>627</v>
      </c>
      <c r="C86" s="175"/>
      <c r="D86" s="175"/>
      <c r="E86" s="163">
        <f t="shared" ref="E86" si="4">SUM(C86:D86)</f>
        <v>0</v>
      </c>
      <c r="F86" s="164"/>
      <c r="G86" s="164"/>
      <c r="H86" s="163">
        <f t="shared" ref="H86" si="5">SUM(F86:G86)</f>
        <v>0</v>
      </c>
    </row>
    <row r="87" spans="2:8" x14ac:dyDescent="0.25">
      <c r="B87" s="184" t="s">
        <v>628</v>
      </c>
    </row>
    <row r="88" spans="2:8" x14ac:dyDescent="0.25">
      <c r="E88" s="111">
        <f>D71/E71</f>
        <v>0.12560386473429952</v>
      </c>
      <c r="F88" s="111"/>
      <c r="G88" s="111"/>
      <c r="H88" s="111">
        <f>G71/H71</f>
        <v>7.6923076923076927E-2</v>
      </c>
    </row>
    <row r="90" spans="2:8" x14ac:dyDescent="0.25">
      <c r="B90" s="156" t="s">
        <v>629</v>
      </c>
      <c r="C90" s="1" t="s">
        <v>630</v>
      </c>
    </row>
    <row r="91" spans="2:8" x14ac:dyDescent="0.25">
      <c r="B91" s="156" t="s">
        <v>631</v>
      </c>
      <c r="C91" s="1" t="s">
        <v>632</v>
      </c>
    </row>
    <row r="92" spans="2:8" x14ac:dyDescent="0.25">
      <c r="B92" s="156" t="s">
        <v>633</v>
      </c>
      <c r="C92" s="1" t="s">
        <v>634</v>
      </c>
    </row>
    <row r="93" spans="2:8" x14ac:dyDescent="0.25">
      <c r="B93" s="156" t="s">
        <v>635</v>
      </c>
      <c r="C93" s="1" t="s">
        <v>636</v>
      </c>
    </row>
    <row r="94" spans="2:8" x14ac:dyDescent="0.25">
      <c r="B94" s="156" t="s">
        <v>637</v>
      </c>
      <c r="C94" s="1" t="s">
        <v>638</v>
      </c>
    </row>
    <row r="95" spans="2:8" x14ac:dyDescent="0.25">
      <c r="B95" s="156" t="s">
        <v>639</v>
      </c>
      <c r="C95" s="1" t="s">
        <v>640</v>
      </c>
    </row>
    <row r="96" spans="2:8" x14ac:dyDescent="0.25">
      <c r="B96" s="156" t="s">
        <v>641</v>
      </c>
      <c r="C96" s="1" t="s">
        <v>642</v>
      </c>
    </row>
    <row r="97" spans="2:3" x14ac:dyDescent="0.25">
      <c r="B97" s="156" t="s">
        <v>643</v>
      </c>
      <c r="C97" s="1" t="s">
        <v>644</v>
      </c>
    </row>
    <row r="98" spans="2:3" x14ac:dyDescent="0.25">
      <c r="B98" s="156" t="s">
        <v>645</v>
      </c>
      <c r="C98" s="1" t="s">
        <v>646</v>
      </c>
    </row>
    <row r="99" spans="2:3" x14ac:dyDescent="0.25">
      <c r="B99" s="156" t="s">
        <v>647</v>
      </c>
      <c r="C99" s="1" t="s">
        <v>648</v>
      </c>
    </row>
    <row r="100" spans="2:3" x14ac:dyDescent="0.25">
      <c r="B100" s="156" t="s">
        <v>649</v>
      </c>
      <c r="C100" s="1" t="s">
        <v>650</v>
      </c>
    </row>
    <row r="101" spans="2:3" x14ac:dyDescent="0.25">
      <c r="C101" s="1" t="s">
        <v>651</v>
      </c>
    </row>
    <row r="102" spans="2:3" x14ac:dyDescent="0.25">
      <c r="C102" s="1" t="s">
        <v>652</v>
      </c>
    </row>
    <row r="103" spans="2:3" x14ac:dyDescent="0.25">
      <c r="C103" s="1" t="s">
        <v>653</v>
      </c>
    </row>
    <row r="104" spans="2:3" x14ac:dyDescent="0.25">
      <c r="C104" s="1" t="s">
        <v>654</v>
      </c>
    </row>
    <row r="105" spans="2:3" x14ac:dyDescent="0.25">
      <c r="C105" s="1" t="s">
        <v>655</v>
      </c>
    </row>
    <row r="106" spans="2:3" x14ac:dyDescent="0.25">
      <c r="C106" s="1" t="s">
        <v>656</v>
      </c>
    </row>
    <row r="107" spans="2:3" x14ac:dyDescent="0.25">
      <c r="C107" s="1" t="s">
        <v>657</v>
      </c>
    </row>
    <row r="108" spans="2:3" x14ac:dyDescent="0.25">
      <c r="C108" s="1" t="s">
        <v>658</v>
      </c>
    </row>
    <row r="109" spans="2:3" x14ac:dyDescent="0.25">
      <c r="C109" s="1" t="s">
        <v>659</v>
      </c>
    </row>
    <row r="110" spans="2:3" x14ac:dyDescent="0.25">
      <c r="C110" s="1" t="s">
        <v>660</v>
      </c>
    </row>
    <row r="111" spans="2:3" x14ac:dyDescent="0.25">
      <c r="C111" s="1" t="s">
        <v>661</v>
      </c>
    </row>
    <row r="112" spans="2:3" x14ac:dyDescent="0.25">
      <c r="C112" s="1" t="s">
        <v>662</v>
      </c>
    </row>
    <row r="113" spans="2:8" x14ac:dyDescent="0.25">
      <c r="C113" s="1" t="s">
        <v>663</v>
      </c>
    </row>
    <row r="114" spans="2:8" x14ac:dyDescent="0.25">
      <c r="C114" s="1" t="s">
        <v>664</v>
      </c>
    </row>
    <row r="118" spans="2:8" x14ac:dyDescent="0.25">
      <c r="B118" s="518" t="s">
        <v>665</v>
      </c>
      <c r="C118" s="518" t="s">
        <v>299</v>
      </c>
      <c r="D118" s="518">
        <v>2023</v>
      </c>
      <c r="E118" s="518">
        <v>2024</v>
      </c>
      <c r="F118" s="518">
        <v>2025</v>
      </c>
      <c r="G118" s="518">
        <v>2026</v>
      </c>
      <c r="H118" s="518">
        <v>2027</v>
      </c>
    </row>
    <row r="119" spans="2:8" ht="15.75" x14ac:dyDescent="0.25">
      <c r="B119" s="519" t="s">
        <v>105</v>
      </c>
      <c r="C119" s="522">
        <v>161779</v>
      </c>
      <c r="D119" s="523">
        <v>0</v>
      </c>
      <c r="E119" s="523">
        <v>161779</v>
      </c>
      <c r="F119" s="523">
        <v>0</v>
      </c>
      <c r="G119" s="523">
        <v>0</v>
      </c>
      <c r="H119" s="523">
        <v>0</v>
      </c>
    </row>
    <row r="120" spans="2:8" ht="15.75" x14ac:dyDescent="0.25">
      <c r="B120" s="520" t="s">
        <v>112</v>
      </c>
      <c r="C120" s="522">
        <v>689127</v>
      </c>
      <c r="D120" s="523">
        <v>0</v>
      </c>
      <c r="E120" s="523">
        <v>689127</v>
      </c>
      <c r="F120" s="523">
        <v>0</v>
      </c>
      <c r="G120" s="523">
        <v>0</v>
      </c>
      <c r="H120" s="523">
        <v>0</v>
      </c>
    </row>
    <row r="121" spans="2:8" ht="15.75" x14ac:dyDescent="0.25">
      <c r="B121" s="520" t="s">
        <v>120</v>
      </c>
      <c r="C121" s="522">
        <v>479149</v>
      </c>
      <c r="D121" s="523">
        <v>0</v>
      </c>
      <c r="E121" s="523">
        <v>374383</v>
      </c>
      <c r="F121" s="523">
        <v>70766</v>
      </c>
      <c r="G121" s="523">
        <v>34000</v>
      </c>
      <c r="H121" s="523">
        <v>0</v>
      </c>
    </row>
    <row r="122" spans="2:8" ht="15.75" x14ac:dyDescent="0.25">
      <c r="B122" s="520" t="s">
        <v>129</v>
      </c>
      <c r="C122" s="522">
        <v>176364</v>
      </c>
      <c r="D122" s="523">
        <v>9323</v>
      </c>
      <c r="E122" s="523">
        <v>47060</v>
      </c>
      <c r="F122" s="523">
        <v>38059</v>
      </c>
      <c r="G122" s="523">
        <v>39962</v>
      </c>
      <c r="H122" s="523">
        <v>41960</v>
      </c>
    </row>
    <row r="123" spans="2:8" ht="33" customHeight="1" x14ac:dyDescent="0.25">
      <c r="B123" s="520" t="s">
        <v>137</v>
      </c>
      <c r="C123" s="522">
        <v>240000</v>
      </c>
      <c r="D123" s="523">
        <v>0</v>
      </c>
      <c r="E123" s="523">
        <v>90000</v>
      </c>
      <c r="F123" s="523">
        <v>50000</v>
      </c>
      <c r="G123" s="523">
        <v>50000</v>
      </c>
      <c r="H123" s="523">
        <v>50000</v>
      </c>
    </row>
    <row r="124" spans="2:8" ht="33" customHeight="1" x14ac:dyDescent="0.25">
      <c r="B124" s="518" t="s">
        <v>299</v>
      </c>
      <c r="C124" s="524">
        <f>SUM(C119:C123)</f>
        <v>1746419</v>
      </c>
      <c r="D124" s="524">
        <f t="shared" ref="D124:H124" si="6">SUM(D119:D123)</f>
        <v>9323</v>
      </c>
      <c r="E124" s="524">
        <f t="shared" si="6"/>
        <v>1362349</v>
      </c>
      <c r="F124" s="524">
        <f t="shared" si="6"/>
        <v>158825</v>
      </c>
      <c r="G124" s="524">
        <f t="shared" si="6"/>
        <v>123962</v>
      </c>
      <c r="H124" s="524">
        <f t="shared" si="6"/>
        <v>91960</v>
      </c>
    </row>
    <row r="125" spans="2:8" ht="33" customHeight="1" x14ac:dyDescent="0.25"/>
    <row r="126" spans="2:8" ht="33" customHeight="1" x14ac:dyDescent="0.25">
      <c r="B126" s="518" t="s">
        <v>665</v>
      </c>
      <c r="C126" s="512" t="s">
        <v>299</v>
      </c>
      <c r="D126" s="512">
        <v>2023</v>
      </c>
      <c r="E126" s="512">
        <v>2024</v>
      </c>
      <c r="F126" s="512">
        <v>2025</v>
      </c>
      <c r="G126" s="512">
        <v>2026</v>
      </c>
      <c r="H126" s="512">
        <v>2027</v>
      </c>
    </row>
    <row r="127" spans="2:8" ht="30" x14ac:dyDescent="0.25">
      <c r="B127" s="519" t="s">
        <v>152</v>
      </c>
      <c r="C127" s="513">
        <v>1332773</v>
      </c>
      <c r="D127" s="514">
        <v>0</v>
      </c>
      <c r="E127" s="514">
        <f>151319+260647</f>
        <v>411966</v>
      </c>
      <c r="F127" s="514">
        <v>591733</v>
      </c>
      <c r="G127" s="514">
        <v>490393</v>
      </c>
      <c r="H127" s="514">
        <v>383199</v>
      </c>
    </row>
    <row r="128" spans="2:8" ht="15.75" x14ac:dyDescent="0.25">
      <c r="B128" s="519" t="s">
        <v>170</v>
      </c>
      <c r="C128" s="513">
        <v>898538</v>
      </c>
      <c r="D128" s="514">
        <v>0</v>
      </c>
      <c r="E128" s="514">
        <v>480501</v>
      </c>
      <c r="F128" s="514">
        <v>371269</v>
      </c>
      <c r="G128" s="514">
        <v>33798</v>
      </c>
      <c r="H128" s="514">
        <v>12970</v>
      </c>
    </row>
    <row r="129" spans="2:8" ht="29.25" customHeight="1" x14ac:dyDescent="0.25">
      <c r="B129" s="519" t="s">
        <v>176</v>
      </c>
      <c r="C129" s="513">
        <v>1735554</v>
      </c>
      <c r="D129" s="514">
        <v>0</v>
      </c>
      <c r="E129" s="514">
        <v>795479</v>
      </c>
      <c r="F129" s="514">
        <v>534780</v>
      </c>
      <c r="G129" s="514">
        <v>405295</v>
      </c>
      <c r="H129" s="514">
        <v>0</v>
      </c>
    </row>
    <row r="130" spans="2:8" ht="30" x14ac:dyDescent="0.25">
      <c r="B130" s="519" t="s">
        <v>449</v>
      </c>
      <c r="C130" s="513">
        <v>844973</v>
      </c>
      <c r="D130" s="514">
        <v>0</v>
      </c>
      <c r="E130" s="514">
        <v>233154</v>
      </c>
      <c r="F130" s="514">
        <v>260805</v>
      </c>
      <c r="G130" s="514">
        <v>267030</v>
      </c>
      <c r="H130" s="514">
        <v>83984</v>
      </c>
    </row>
    <row r="131" spans="2:8" ht="21.75" customHeight="1" x14ac:dyDescent="0.25">
      <c r="B131" s="519" t="s">
        <v>192</v>
      </c>
      <c r="C131" s="513">
        <v>552573</v>
      </c>
      <c r="D131" s="514"/>
      <c r="E131" s="514">
        <f>73416+340894</f>
        <v>414310</v>
      </c>
      <c r="F131" s="514">
        <v>124733</v>
      </c>
      <c r="G131" s="514">
        <v>10240</v>
      </c>
      <c r="H131" s="514">
        <v>3290</v>
      </c>
    </row>
    <row r="132" spans="2:8" ht="33.75" customHeight="1" x14ac:dyDescent="0.25">
      <c r="B132" s="519" t="s">
        <v>198</v>
      </c>
      <c r="C132" s="513">
        <v>624691</v>
      </c>
      <c r="D132" s="514">
        <v>0</v>
      </c>
      <c r="E132" s="514">
        <v>473217</v>
      </c>
      <c r="F132" s="514">
        <v>76374</v>
      </c>
      <c r="G132" s="514">
        <v>37250</v>
      </c>
      <c r="H132" s="514">
        <v>37850</v>
      </c>
    </row>
    <row r="133" spans="2:8" ht="30" x14ac:dyDescent="0.25">
      <c r="B133" s="519" t="s">
        <v>489</v>
      </c>
      <c r="C133" s="513">
        <v>1411500</v>
      </c>
      <c r="D133" s="514">
        <v>0</v>
      </c>
      <c r="E133" s="514">
        <v>600000</v>
      </c>
      <c r="F133" s="514">
        <v>300000</v>
      </c>
      <c r="G133" s="514">
        <v>511500</v>
      </c>
      <c r="H133" s="514">
        <v>0</v>
      </c>
    </row>
    <row r="134" spans="2:8" ht="42" customHeight="1" x14ac:dyDescent="0.25">
      <c r="B134" s="519" t="s">
        <v>214</v>
      </c>
      <c r="C134" s="513">
        <v>634424</v>
      </c>
      <c r="D134" s="514">
        <v>0</v>
      </c>
      <c r="E134" s="514">
        <v>172392</v>
      </c>
      <c r="F134" s="514">
        <v>208012</v>
      </c>
      <c r="G134" s="514">
        <v>123912</v>
      </c>
      <c r="H134" s="514">
        <v>130108</v>
      </c>
    </row>
    <row r="135" spans="2:8" ht="15.75" x14ac:dyDescent="0.25">
      <c r="B135" s="519" t="s">
        <v>129</v>
      </c>
      <c r="C135" s="513">
        <v>176364</v>
      </c>
      <c r="D135" s="514">
        <v>9323</v>
      </c>
      <c r="E135" s="514">
        <v>47060</v>
      </c>
      <c r="F135" s="514">
        <v>38059</v>
      </c>
      <c r="G135" s="514">
        <v>39962</v>
      </c>
      <c r="H135" s="514">
        <v>41960</v>
      </c>
    </row>
    <row r="136" spans="2:8" ht="29.25" customHeight="1" x14ac:dyDescent="0.25">
      <c r="B136" s="519" t="s">
        <v>216</v>
      </c>
      <c r="C136" s="513">
        <v>240000</v>
      </c>
      <c r="D136" s="514">
        <v>0</v>
      </c>
      <c r="E136" s="514">
        <v>90000</v>
      </c>
      <c r="F136" s="514">
        <v>50000</v>
      </c>
      <c r="G136" s="514">
        <v>50000</v>
      </c>
      <c r="H136" s="514">
        <v>50000</v>
      </c>
    </row>
    <row r="137" spans="2:8" ht="30" x14ac:dyDescent="0.25">
      <c r="B137" s="519" t="s">
        <v>666</v>
      </c>
      <c r="C137" s="513">
        <v>60000</v>
      </c>
      <c r="D137" s="514">
        <v>0</v>
      </c>
      <c r="E137" s="514">
        <v>60000</v>
      </c>
      <c r="F137" s="514">
        <v>0</v>
      </c>
      <c r="G137" s="514">
        <v>0</v>
      </c>
      <c r="H137" s="514">
        <v>0</v>
      </c>
    </row>
    <row r="138" spans="2:8" ht="28.5" customHeight="1" x14ac:dyDescent="0.25">
      <c r="B138" s="520" t="s">
        <v>224</v>
      </c>
      <c r="C138" s="513">
        <v>380713</v>
      </c>
      <c r="D138" s="514">
        <v>0</v>
      </c>
      <c r="E138" s="514">
        <v>142215</v>
      </c>
      <c r="F138" s="514">
        <v>238498</v>
      </c>
      <c r="G138" s="514">
        <v>0</v>
      </c>
      <c r="H138" s="514">
        <v>0</v>
      </c>
    </row>
    <row r="139" spans="2:8" ht="15.75" x14ac:dyDescent="0.25">
      <c r="B139" s="519" t="s">
        <v>229</v>
      </c>
      <c r="C139" s="513">
        <v>240567</v>
      </c>
      <c r="D139" s="514">
        <v>0</v>
      </c>
      <c r="E139" s="514">
        <v>86589</v>
      </c>
      <c r="F139" s="514">
        <v>153978</v>
      </c>
      <c r="G139" s="514">
        <v>0</v>
      </c>
      <c r="H139" s="514">
        <v>0</v>
      </c>
    </row>
    <row r="140" spans="2:8" ht="15.75" x14ac:dyDescent="0.25">
      <c r="B140" s="521" t="s">
        <v>238</v>
      </c>
      <c r="C140" s="515">
        <v>763804</v>
      </c>
      <c r="D140" s="516">
        <v>0</v>
      </c>
      <c r="E140" s="516">
        <v>209950</v>
      </c>
      <c r="F140" s="516">
        <v>553854</v>
      </c>
      <c r="G140" s="514">
        <v>0</v>
      </c>
      <c r="H140" s="514">
        <v>0</v>
      </c>
    </row>
    <row r="141" spans="2:8" x14ac:dyDescent="0.25">
      <c r="B141" s="518" t="s">
        <v>299</v>
      </c>
      <c r="C141" s="517">
        <f>SUM(C127:C140)</f>
        <v>9896474</v>
      </c>
      <c r="D141" s="517">
        <f t="shared" ref="D141:H141" si="7">SUM(D127:D140)</f>
        <v>9323</v>
      </c>
      <c r="E141" s="517">
        <f t="shared" si="7"/>
        <v>4216833</v>
      </c>
      <c r="F141" s="517">
        <f t="shared" si="7"/>
        <v>3502095</v>
      </c>
      <c r="G141" s="517">
        <f t="shared" si="7"/>
        <v>1969380</v>
      </c>
      <c r="H141" s="517">
        <f t="shared" si="7"/>
        <v>743361</v>
      </c>
    </row>
  </sheetData>
  <mergeCells count="6">
    <mergeCell ref="C69:E69"/>
    <mergeCell ref="F69:H69"/>
    <mergeCell ref="C4:F4"/>
    <mergeCell ref="B18:B19"/>
    <mergeCell ref="C18:F18"/>
    <mergeCell ref="B55:I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55B6-CE17-462D-ADE1-E22651B07E75}">
  <sheetPr codeName="Leht6"/>
  <dimension ref="A1:U120"/>
  <sheetViews>
    <sheetView topLeftCell="A94" workbookViewId="0">
      <selection activeCell="U53" sqref="U53"/>
    </sheetView>
  </sheetViews>
  <sheetFormatPr defaultColWidth="8.7109375" defaultRowHeight="15" x14ac:dyDescent="0.25"/>
  <cols>
    <col min="1" max="1" width="32.7109375" customWidth="1"/>
    <col min="2" max="2" width="28.7109375" bestFit="1" customWidth="1"/>
    <col min="3" max="3" width="15.42578125" bestFit="1" customWidth="1"/>
    <col min="4" max="4" width="27.28515625" hidden="1" customWidth="1"/>
    <col min="5" max="9" width="4.7109375" hidden="1" customWidth="1"/>
    <col min="10" max="10" width="11.5703125" hidden="1" customWidth="1"/>
    <col min="11" max="11" width="23.7109375" hidden="1" customWidth="1"/>
    <col min="12" max="12" width="18.28515625" bestFit="1" customWidth="1"/>
    <col min="13" max="13" width="18.42578125" hidden="1" customWidth="1"/>
    <col min="14" max="14" width="43.28515625" hidden="1" customWidth="1"/>
    <col min="15" max="15" width="23.5703125" hidden="1" customWidth="1"/>
    <col min="16" max="16" width="9.7109375" customWidth="1"/>
    <col min="17" max="17" width="7.5703125" hidden="1" customWidth="1"/>
    <col min="18" max="18" width="19.7109375" customWidth="1"/>
    <col min="19" max="19" width="9.28515625" customWidth="1"/>
    <col min="20" max="20" width="8.7109375" customWidth="1"/>
  </cols>
  <sheetData>
    <row r="1" spans="1:20" x14ac:dyDescent="0.25">
      <c r="A1" s="354" t="s">
        <v>667</v>
      </c>
    </row>
    <row r="3" spans="1:20" s="356" customFormat="1" ht="165" x14ac:dyDescent="0.25">
      <c r="A3" s="355" t="s">
        <v>668</v>
      </c>
      <c r="B3" s="355" t="s">
        <v>669</v>
      </c>
      <c r="C3" s="355" t="s">
        <v>669</v>
      </c>
      <c r="D3" s="355" t="s">
        <v>670</v>
      </c>
      <c r="E3" s="814" t="s">
        <v>671</v>
      </c>
      <c r="F3" s="815"/>
      <c r="G3" s="815"/>
      <c r="H3" s="815"/>
      <c r="I3" s="816"/>
      <c r="J3" s="355" t="s">
        <v>672</v>
      </c>
      <c r="K3" s="355" t="s">
        <v>673</v>
      </c>
      <c r="L3" s="355" t="s">
        <v>674</v>
      </c>
      <c r="M3" s="355" t="s">
        <v>675</v>
      </c>
      <c r="N3" s="355" t="s">
        <v>676</v>
      </c>
      <c r="O3" s="355" t="s">
        <v>677</v>
      </c>
      <c r="P3" s="355" t="s">
        <v>678</v>
      </c>
      <c r="Q3" s="477" t="s">
        <v>679</v>
      </c>
      <c r="R3" s="557" t="s">
        <v>680</v>
      </c>
    </row>
    <row r="4" spans="1:20" ht="34.35" customHeight="1" x14ac:dyDescent="0.25">
      <c r="A4" s="807" t="s">
        <v>681</v>
      </c>
      <c r="B4" s="807" t="s">
        <v>682</v>
      </c>
      <c r="C4" s="807" t="s">
        <v>683</v>
      </c>
      <c r="D4" s="807" t="s">
        <v>684</v>
      </c>
      <c r="E4" s="818" t="s">
        <v>685</v>
      </c>
      <c r="F4" s="815"/>
      <c r="G4" s="815"/>
      <c r="H4" s="815"/>
      <c r="I4" s="816"/>
      <c r="J4" s="807" t="s">
        <v>686</v>
      </c>
      <c r="K4" s="807" t="s">
        <v>687</v>
      </c>
      <c r="L4" s="811" t="s">
        <v>688</v>
      </c>
      <c r="M4" s="811" t="s">
        <v>689</v>
      </c>
      <c r="N4" s="811" t="s">
        <v>690</v>
      </c>
      <c r="O4" s="807" t="s">
        <v>691</v>
      </c>
      <c r="P4" s="807" t="s">
        <v>692</v>
      </c>
      <c r="Q4" s="809" t="s">
        <v>693</v>
      </c>
      <c r="R4" s="558"/>
      <c r="T4" s="560"/>
    </row>
    <row r="5" spans="1:20" ht="27.6" customHeight="1" x14ac:dyDescent="0.25">
      <c r="A5" s="817"/>
      <c r="B5" s="808"/>
      <c r="C5" s="817"/>
      <c r="D5" s="817"/>
      <c r="E5" s="357">
        <v>2023</v>
      </c>
      <c r="F5" s="357">
        <v>2024</v>
      </c>
      <c r="G5" s="357">
        <v>2025</v>
      </c>
      <c r="H5" s="357">
        <v>2026</v>
      </c>
      <c r="I5" s="357">
        <v>2027</v>
      </c>
      <c r="J5" s="808"/>
      <c r="K5" s="808"/>
      <c r="L5" s="812"/>
      <c r="M5" s="812"/>
      <c r="N5" s="813"/>
      <c r="O5" s="808"/>
      <c r="P5" s="808"/>
      <c r="Q5" s="810"/>
      <c r="R5" s="558"/>
      <c r="S5" s="560"/>
      <c r="T5" s="560"/>
    </row>
    <row r="6" spans="1:20" s="580" customFormat="1" x14ac:dyDescent="0.25">
      <c r="A6" s="571" t="s">
        <v>152</v>
      </c>
      <c r="B6" t="s">
        <v>614</v>
      </c>
      <c r="C6" s="572">
        <v>3</v>
      </c>
      <c r="D6" s="573"/>
      <c r="E6" s="572"/>
      <c r="F6" s="572"/>
      <c r="G6" s="572"/>
      <c r="H6" s="572"/>
      <c r="I6" s="572"/>
      <c r="J6" s="574" t="s">
        <v>694</v>
      </c>
      <c r="K6" s="575" t="s">
        <v>695</v>
      </c>
      <c r="L6" s="566">
        <v>45457</v>
      </c>
      <c r="M6" s="574" t="s">
        <v>477</v>
      </c>
      <c r="N6" s="576"/>
      <c r="O6" s="575" t="s">
        <v>696</v>
      </c>
      <c r="P6" s="577">
        <v>0.1</v>
      </c>
      <c r="Q6" s="578" t="s">
        <v>697</v>
      </c>
      <c r="R6" s="579">
        <f>L6*P6</f>
        <v>4545.7</v>
      </c>
      <c r="S6" s="354"/>
    </row>
    <row r="7" spans="1:20" s="580" customFormat="1" x14ac:dyDescent="0.25">
      <c r="A7" s="571" t="s">
        <v>152</v>
      </c>
      <c r="B7" s="581" t="s">
        <v>622</v>
      </c>
      <c r="C7" s="572">
        <v>3</v>
      </c>
      <c r="D7" s="573"/>
      <c r="E7" s="572"/>
      <c r="F7" s="572"/>
      <c r="G7" s="572"/>
      <c r="H7" s="572"/>
      <c r="I7" s="572"/>
      <c r="J7" s="574" t="s">
        <v>694</v>
      </c>
      <c r="K7" s="575" t="s">
        <v>695</v>
      </c>
      <c r="L7" s="566">
        <v>85016</v>
      </c>
      <c r="M7" s="574" t="s">
        <v>477</v>
      </c>
      <c r="N7" s="576"/>
      <c r="O7" s="575" t="s">
        <v>696</v>
      </c>
      <c r="P7" s="577">
        <v>0.15</v>
      </c>
      <c r="Q7" s="578" t="s">
        <v>697</v>
      </c>
      <c r="R7" s="579">
        <f>L7*P7</f>
        <v>12752.4</v>
      </c>
      <c r="S7" s="354"/>
    </row>
    <row r="8" spans="1:20" s="582" customFormat="1" x14ac:dyDescent="0.25">
      <c r="A8" s="571" t="s">
        <v>152</v>
      </c>
      <c r="B8" s="581" t="s">
        <v>619</v>
      </c>
      <c r="C8" s="572">
        <v>3</v>
      </c>
      <c r="D8" s="573"/>
      <c r="E8" s="572"/>
      <c r="F8" s="572"/>
      <c r="G8" s="572"/>
      <c r="H8" s="572"/>
      <c r="I8" s="572"/>
      <c r="J8" s="574" t="s">
        <v>694</v>
      </c>
      <c r="K8" s="575" t="s">
        <v>695</v>
      </c>
      <c r="L8" s="566">
        <v>60637</v>
      </c>
      <c r="M8" s="574" t="s">
        <v>477</v>
      </c>
      <c r="N8" s="576"/>
      <c r="O8" s="575" t="s">
        <v>696</v>
      </c>
      <c r="P8" s="577">
        <v>1</v>
      </c>
      <c r="Q8" s="578" t="s">
        <v>697</v>
      </c>
      <c r="R8" s="579">
        <f t="shared" ref="R8:R10" si="0">L8*P8</f>
        <v>60637</v>
      </c>
    </row>
    <row r="9" spans="1:20" s="582" customFormat="1" x14ac:dyDescent="0.25">
      <c r="A9" s="571" t="s">
        <v>152</v>
      </c>
      <c r="B9" s="581" t="s">
        <v>620</v>
      </c>
      <c r="C9" s="572">
        <v>3</v>
      </c>
      <c r="D9" s="573"/>
      <c r="E9" s="572"/>
      <c r="F9" s="572"/>
      <c r="G9" s="572"/>
      <c r="H9" s="572"/>
      <c r="I9" s="572"/>
      <c r="J9" s="574" t="s">
        <v>694</v>
      </c>
      <c r="K9" s="575" t="s">
        <v>695</v>
      </c>
      <c r="L9" s="566">
        <v>60530</v>
      </c>
      <c r="M9" s="574" t="s">
        <v>477</v>
      </c>
      <c r="N9" s="576"/>
      <c r="O9" s="575" t="s">
        <v>696</v>
      </c>
      <c r="P9" s="577">
        <v>0.1</v>
      </c>
      <c r="Q9" s="578" t="s">
        <v>697</v>
      </c>
      <c r="R9" s="579">
        <f t="shared" si="0"/>
        <v>6053</v>
      </c>
      <c r="T9" s="584">
        <f>T10-S10</f>
        <v>-8084.3500000000058</v>
      </c>
    </row>
    <row r="10" spans="1:20" s="580" customFormat="1" x14ac:dyDescent="0.25">
      <c r="A10" s="571" t="s">
        <v>152</v>
      </c>
      <c r="B10" s="581" t="s">
        <v>625</v>
      </c>
      <c r="C10" s="572">
        <v>3</v>
      </c>
      <c r="D10" s="573"/>
      <c r="E10" s="572"/>
      <c r="F10" s="572"/>
      <c r="G10" s="572"/>
      <c r="H10" s="572"/>
      <c r="I10" s="572"/>
      <c r="J10" s="574" t="s">
        <v>694</v>
      </c>
      <c r="K10" s="575" t="s">
        <v>695</v>
      </c>
      <c r="L10" s="566">
        <v>48975</v>
      </c>
      <c r="M10" s="574" t="s">
        <v>477</v>
      </c>
      <c r="N10" s="576"/>
      <c r="O10" s="575" t="s">
        <v>696</v>
      </c>
      <c r="P10" s="577">
        <v>0.15</v>
      </c>
      <c r="Q10" s="578" t="s">
        <v>697</v>
      </c>
      <c r="R10" s="579">
        <f t="shared" si="0"/>
        <v>7346.25</v>
      </c>
      <c r="S10" s="583">
        <f>SUM(R6:R10)</f>
        <v>91334.35</v>
      </c>
      <c r="T10" s="583">
        <f>'kuni 2025 detsember tegevuskava'!AE46</f>
        <v>83250</v>
      </c>
    </row>
    <row r="11" spans="1:20" s="582" customFormat="1" x14ac:dyDescent="0.25">
      <c r="A11" s="571" t="s">
        <v>170</v>
      </c>
      <c r="B11" t="s">
        <v>614</v>
      </c>
      <c r="C11" s="572">
        <v>3</v>
      </c>
      <c r="D11" s="573"/>
      <c r="E11" s="572"/>
      <c r="F11" s="572"/>
      <c r="G11" s="572"/>
      <c r="H11" s="572"/>
      <c r="I11" s="572"/>
      <c r="J11" s="574" t="s">
        <v>694</v>
      </c>
      <c r="K11" s="575" t="s">
        <v>695</v>
      </c>
      <c r="L11" s="566">
        <v>45457</v>
      </c>
      <c r="M11" s="574" t="s">
        <v>477</v>
      </c>
      <c r="N11" s="576"/>
      <c r="O11" s="575" t="s">
        <v>696</v>
      </c>
      <c r="P11" s="577">
        <v>0.1</v>
      </c>
      <c r="Q11" s="578" t="s">
        <v>697</v>
      </c>
      <c r="R11" s="579">
        <f>L11*P11</f>
        <v>4545.7</v>
      </c>
    </row>
    <row r="12" spans="1:20" s="582" customFormat="1" x14ac:dyDescent="0.25">
      <c r="A12" s="571" t="s">
        <v>170</v>
      </c>
      <c r="B12" s="581" t="s">
        <v>622</v>
      </c>
      <c r="C12" s="572">
        <v>3</v>
      </c>
      <c r="D12" s="573"/>
      <c r="E12" s="572"/>
      <c r="F12" s="572"/>
      <c r="G12" s="572"/>
      <c r="H12" s="572"/>
      <c r="I12" s="572"/>
      <c r="J12" s="574" t="s">
        <v>694</v>
      </c>
      <c r="K12" s="575" t="s">
        <v>695</v>
      </c>
      <c r="L12" s="566">
        <v>85016</v>
      </c>
      <c r="M12" s="574" t="s">
        <v>477</v>
      </c>
      <c r="N12" s="576"/>
      <c r="O12" s="575" t="s">
        <v>696</v>
      </c>
      <c r="P12" s="577">
        <v>0.1</v>
      </c>
      <c r="Q12" s="578" t="s">
        <v>697</v>
      </c>
      <c r="R12" s="579">
        <f>L12*P12</f>
        <v>8501.6</v>
      </c>
    </row>
    <row r="13" spans="1:20" s="582" customFormat="1" x14ac:dyDescent="0.25">
      <c r="A13" s="571" t="s">
        <v>170</v>
      </c>
      <c r="B13" s="581" t="s">
        <v>619</v>
      </c>
      <c r="C13" s="572">
        <v>3</v>
      </c>
      <c r="D13" s="573"/>
      <c r="E13" s="572"/>
      <c r="F13" s="572"/>
      <c r="G13" s="572"/>
      <c r="H13" s="572"/>
      <c r="I13" s="572"/>
      <c r="J13" s="574" t="s">
        <v>694</v>
      </c>
      <c r="K13" s="575" t="s">
        <v>695</v>
      </c>
      <c r="L13" s="566">
        <v>60637</v>
      </c>
      <c r="M13" s="574" t="s">
        <v>477</v>
      </c>
      <c r="N13" s="576"/>
      <c r="O13" s="575" t="s">
        <v>696</v>
      </c>
      <c r="P13" s="577">
        <v>0.4</v>
      </c>
      <c r="Q13" s="578" t="s">
        <v>697</v>
      </c>
      <c r="R13" s="579">
        <f t="shared" ref="R13:R15" si="1">L13*P13</f>
        <v>24254.800000000003</v>
      </c>
    </row>
    <row r="14" spans="1:20" s="582" customFormat="1" x14ac:dyDescent="0.25">
      <c r="A14" s="571" t="s">
        <v>170</v>
      </c>
      <c r="B14" s="581" t="s">
        <v>620</v>
      </c>
      <c r="C14" s="572">
        <v>3</v>
      </c>
      <c r="D14" s="573"/>
      <c r="E14" s="572"/>
      <c r="F14" s="572"/>
      <c r="G14" s="572"/>
      <c r="H14" s="572"/>
      <c r="I14" s="572"/>
      <c r="J14" s="574" t="s">
        <v>694</v>
      </c>
      <c r="K14" s="575" t="s">
        <v>695</v>
      </c>
      <c r="L14" s="566">
        <v>60530</v>
      </c>
      <c r="M14" s="574" t="s">
        <v>477</v>
      </c>
      <c r="N14" s="576"/>
      <c r="O14" s="575" t="s">
        <v>696</v>
      </c>
      <c r="P14" s="577">
        <v>0.1</v>
      </c>
      <c r="Q14" s="578" t="s">
        <v>697</v>
      </c>
      <c r="R14" s="579">
        <f t="shared" si="1"/>
        <v>6053</v>
      </c>
      <c r="T14" s="584">
        <f>T15-S15</f>
        <v>-4202.6000000000058</v>
      </c>
    </row>
    <row r="15" spans="1:20" s="582" customFormat="1" x14ac:dyDescent="0.25">
      <c r="A15" s="571" t="s">
        <v>170</v>
      </c>
      <c r="B15" s="581" t="s">
        <v>625</v>
      </c>
      <c r="C15" s="572">
        <v>3</v>
      </c>
      <c r="D15" s="573"/>
      <c r="E15" s="572"/>
      <c r="F15" s="572"/>
      <c r="G15" s="572"/>
      <c r="H15" s="572"/>
      <c r="I15" s="572"/>
      <c r="J15" s="574" t="s">
        <v>694</v>
      </c>
      <c r="K15" s="575" t="s">
        <v>695</v>
      </c>
      <c r="L15" s="566">
        <v>48975</v>
      </c>
      <c r="M15" s="574" t="s">
        <v>477</v>
      </c>
      <c r="N15" s="576"/>
      <c r="O15" s="575" t="s">
        <v>696</v>
      </c>
      <c r="P15" s="577">
        <v>0.1</v>
      </c>
      <c r="Q15" s="578" t="s">
        <v>697</v>
      </c>
      <c r="R15" s="579">
        <f t="shared" si="1"/>
        <v>4897.5</v>
      </c>
      <c r="S15" s="584">
        <f>SUM(R11:R15)</f>
        <v>48252.600000000006</v>
      </c>
      <c r="T15" s="584">
        <f>'kuni 2025 detsember tegevuskava'!AE49</f>
        <v>44050</v>
      </c>
    </row>
    <row r="16" spans="1:20" s="580" customFormat="1" x14ac:dyDescent="0.25">
      <c r="A16" s="571" t="s">
        <v>176</v>
      </c>
      <c r="B16" t="s">
        <v>614</v>
      </c>
      <c r="C16" s="572">
        <v>3</v>
      </c>
      <c r="D16" s="573"/>
      <c r="E16" s="572"/>
      <c r="F16" s="572"/>
      <c r="G16" s="572"/>
      <c r="H16" s="572"/>
      <c r="I16" s="572"/>
      <c r="J16" s="574" t="s">
        <v>694</v>
      </c>
      <c r="K16" s="575" t="s">
        <v>695</v>
      </c>
      <c r="L16" s="566">
        <v>45457</v>
      </c>
      <c r="M16" s="574" t="s">
        <v>477</v>
      </c>
      <c r="N16" s="576"/>
      <c r="O16" s="575" t="s">
        <v>696</v>
      </c>
      <c r="P16" s="577">
        <v>0.2</v>
      </c>
      <c r="Q16" s="578" t="s">
        <v>697</v>
      </c>
      <c r="R16" s="579">
        <f>L16*P16</f>
        <v>9091.4</v>
      </c>
    </row>
    <row r="17" spans="1:20" s="582" customFormat="1" x14ac:dyDescent="0.25">
      <c r="A17" s="571" t="s">
        <v>176</v>
      </c>
      <c r="B17" s="581" t="s">
        <v>622</v>
      </c>
      <c r="C17" s="572">
        <v>3</v>
      </c>
      <c r="D17" s="573"/>
      <c r="E17" s="572"/>
      <c r="F17" s="572"/>
      <c r="G17" s="572"/>
      <c r="H17" s="572"/>
      <c r="I17" s="572"/>
      <c r="J17" s="574" t="s">
        <v>694</v>
      </c>
      <c r="K17" s="575" t="s">
        <v>695</v>
      </c>
      <c r="L17" s="566">
        <v>85016</v>
      </c>
      <c r="M17" s="574" t="s">
        <v>477</v>
      </c>
      <c r="N17" s="576"/>
      <c r="O17" s="575" t="s">
        <v>696</v>
      </c>
      <c r="P17" s="577">
        <v>0.2</v>
      </c>
      <c r="Q17" s="578" t="s">
        <v>697</v>
      </c>
      <c r="R17" s="579">
        <f>L17*P17</f>
        <v>17003.2</v>
      </c>
    </row>
    <row r="18" spans="1:20" s="582" customFormat="1" x14ac:dyDescent="0.25">
      <c r="A18" s="571" t="s">
        <v>176</v>
      </c>
      <c r="B18" s="581" t="s">
        <v>619</v>
      </c>
      <c r="C18" s="572">
        <v>3</v>
      </c>
      <c r="D18" s="573"/>
      <c r="E18" s="572"/>
      <c r="F18" s="572"/>
      <c r="G18" s="572"/>
      <c r="H18" s="572"/>
      <c r="I18" s="572"/>
      <c r="J18" s="574" t="s">
        <v>694</v>
      </c>
      <c r="K18" s="575" t="s">
        <v>695</v>
      </c>
      <c r="L18" s="566">
        <v>60637</v>
      </c>
      <c r="M18" s="574" t="s">
        <v>477</v>
      </c>
      <c r="N18" s="576"/>
      <c r="O18" s="575" t="s">
        <v>696</v>
      </c>
      <c r="P18" s="577">
        <v>0.4</v>
      </c>
      <c r="Q18" s="578" t="s">
        <v>697</v>
      </c>
      <c r="R18" s="579">
        <f t="shared" ref="R18:R20" si="2">L18*P18</f>
        <v>24254.800000000003</v>
      </c>
    </row>
    <row r="19" spans="1:20" s="582" customFormat="1" x14ac:dyDescent="0.25">
      <c r="A19" s="571" t="s">
        <v>176</v>
      </c>
      <c r="B19" s="550" t="s">
        <v>624</v>
      </c>
      <c r="C19" s="572">
        <v>3</v>
      </c>
      <c r="D19" s="573"/>
      <c r="E19" s="572"/>
      <c r="F19" s="572"/>
      <c r="G19" s="572"/>
      <c r="H19" s="572"/>
      <c r="I19" s="572"/>
      <c r="J19" s="574" t="s">
        <v>694</v>
      </c>
      <c r="K19" s="575" t="s">
        <v>695</v>
      </c>
      <c r="L19" s="566">
        <v>46834</v>
      </c>
      <c r="M19" s="574" t="s">
        <v>477</v>
      </c>
      <c r="N19" s="576"/>
      <c r="O19" s="575" t="s">
        <v>696</v>
      </c>
      <c r="P19" s="577">
        <v>0.2</v>
      </c>
      <c r="Q19" s="578" t="s">
        <v>697</v>
      </c>
      <c r="R19" s="579">
        <f t="shared" si="2"/>
        <v>9366.8000000000011</v>
      </c>
      <c r="T19" s="584">
        <f>T20-S20</f>
        <v>-5882.2000000000116</v>
      </c>
    </row>
    <row r="20" spans="1:20" s="582" customFormat="1" x14ac:dyDescent="0.25">
      <c r="A20" s="571" t="s">
        <v>176</v>
      </c>
      <c r="B20" s="581" t="s">
        <v>620</v>
      </c>
      <c r="C20" s="572">
        <v>3</v>
      </c>
      <c r="D20" s="573"/>
      <c r="E20" s="572"/>
      <c r="F20" s="572"/>
      <c r="G20" s="572"/>
      <c r="H20" s="572"/>
      <c r="I20" s="572"/>
      <c r="J20" s="574" t="s">
        <v>694</v>
      </c>
      <c r="K20" s="575" t="s">
        <v>695</v>
      </c>
      <c r="L20" s="566">
        <v>60530</v>
      </c>
      <c r="M20" s="574" t="s">
        <v>477</v>
      </c>
      <c r="N20" s="576"/>
      <c r="O20" s="575" t="s">
        <v>696</v>
      </c>
      <c r="P20" s="577">
        <v>0.2</v>
      </c>
      <c r="Q20" s="578" t="s">
        <v>697</v>
      </c>
      <c r="R20" s="579">
        <f t="shared" si="2"/>
        <v>12106</v>
      </c>
      <c r="S20" s="584">
        <f>SUM(R16:R20)</f>
        <v>71822.200000000012</v>
      </c>
      <c r="T20" s="584">
        <f>'kuni 2025 detsember tegevuskava'!AE50</f>
        <v>65940</v>
      </c>
    </row>
    <row r="21" spans="1:20" s="200" customFormat="1" x14ac:dyDescent="0.25">
      <c r="A21" s="585" t="s">
        <v>449</v>
      </c>
      <c r="B21" s="562" t="s">
        <v>614</v>
      </c>
      <c r="C21" s="563">
        <v>3</v>
      </c>
      <c r="D21" s="561"/>
      <c r="E21" s="563"/>
      <c r="F21" s="563"/>
      <c r="G21" s="563"/>
      <c r="H21" s="563"/>
      <c r="I21" s="563"/>
      <c r="J21" s="565" t="s">
        <v>477</v>
      </c>
      <c r="K21" s="565" t="s">
        <v>698</v>
      </c>
      <c r="L21" s="566">
        <v>45457</v>
      </c>
      <c r="M21" s="564" t="s">
        <v>477</v>
      </c>
      <c r="N21" s="567"/>
      <c r="O21" s="565" t="s">
        <v>696</v>
      </c>
      <c r="P21" s="568">
        <v>0.5</v>
      </c>
      <c r="Q21" s="569" t="s">
        <v>697</v>
      </c>
      <c r="R21" s="570">
        <f>L21*P21</f>
        <v>22728.5</v>
      </c>
    </row>
    <row r="22" spans="1:20" s="200" customFormat="1" x14ac:dyDescent="0.25">
      <c r="A22" s="585" t="s">
        <v>449</v>
      </c>
      <c r="B22" s="562" t="s">
        <v>621</v>
      </c>
      <c r="C22" s="588">
        <v>2</v>
      </c>
      <c r="D22" s="561"/>
      <c r="E22" s="563"/>
      <c r="F22" s="563"/>
      <c r="G22" s="563"/>
      <c r="H22" s="563"/>
      <c r="I22" s="563"/>
      <c r="J22" s="565" t="s">
        <v>694</v>
      </c>
      <c r="K22" s="565" t="s">
        <v>695</v>
      </c>
      <c r="L22" s="587">
        <v>46790</v>
      </c>
      <c r="M22" s="564" t="s">
        <v>477</v>
      </c>
      <c r="N22" s="567"/>
      <c r="O22" s="565" t="s">
        <v>696</v>
      </c>
      <c r="P22" s="568">
        <v>0.2</v>
      </c>
      <c r="Q22" s="569" t="s">
        <v>697</v>
      </c>
      <c r="R22" s="570">
        <f>L22*P22</f>
        <v>9358</v>
      </c>
    </row>
    <row r="23" spans="1:20" s="549" customFormat="1" x14ac:dyDescent="0.25">
      <c r="A23" s="585" t="s">
        <v>449</v>
      </c>
      <c r="B23" s="562" t="s">
        <v>622</v>
      </c>
      <c r="C23" s="563">
        <v>3</v>
      </c>
      <c r="D23" s="561"/>
      <c r="E23" s="563"/>
      <c r="F23" s="563"/>
      <c r="G23" s="563"/>
      <c r="H23" s="563"/>
      <c r="I23" s="563"/>
      <c r="J23" s="565" t="s">
        <v>694</v>
      </c>
      <c r="K23" s="565" t="s">
        <v>695</v>
      </c>
      <c r="L23" s="566">
        <v>85016</v>
      </c>
      <c r="M23" s="564" t="s">
        <v>477</v>
      </c>
      <c r="N23" s="567"/>
      <c r="O23" s="565" t="s">
        <v>696</v>
      </c>
      <c r="P23" s="568">
        <v>0.1</v>
      </c>
      <c r="Q23" s="569" t="s">
        <v>697</v>
      </c>
      <c r="R23" s="570">
        <f>L23*P23</f>
        <v>8501.6</v>
      </c>
    </row>
    <row r="24" spans="1:20" s="200" customFormat="1" x14ac:dyDescent="0.25">
      <c r="A24" s="585" t="s">
        <v>449</v>
      </c>
      <c r="B24" s="562" t="s">
        <v>619</v>
      </c>
      <c r="C24" s="563">
        <v>3</v>
      </c>
      <c r="D24" s="561"/>
      <c r="E24" s="563"/>
      <c r="F24" s="563"/>
      <c r="G24" s="563"/>
      <c r="H24" s="563"/>
      <c r="I24" s="563"/>
      <c r="J24" s="565" t="s">
        <v>694</v>
      </c>
      <c r="K24" s="565" t="s">
        <v>695</v>
      </c>
      <c r="L24" s="566">
        <v>60637</v>
      </c>
      <c r="M24" s="564" t="s">
        <v>477</v>
      </c>
      <c r="N24" s="567"/>
      <c r="O24" s="565" t="s">
        <v>696</v>
      </c>
      <c r="P24" s="568">
        <v>0.4</v>
      </c>
      <c r="Q24" s="569" t="s">
        <v>697</v>
      </c>
      <c r="R24" s="570">
        <f t="shared" ref="R24:R26" si="3">L24*P24</f>
        <v>24254.800000000003</v>
      </c>
    </row>
    <row r="25" spans="1:20" s="200" customFormat="1" x14ac:dyDescent="0.25">
      <c r="A25" s="585" t="s">
        <v>449</v>
      </c>
      <c r="B25" s="562" t="s">
        <v>620</v>
      </c>
      <c r="C25" s="563">
        <v>3</v>
      </c>
      <c r="D25" s="561"/>
      <c r="E25" s="563"/>
      <c r="F25" s="563"/>
      <c r="G25" s="563"/>
      <c r="H25" s="563"/>
      <c r="I25" s="563"/>
      <c r="J25" s="565" t="s">
        <v>694</v>
      </c>
      <c r="K25" s="565" t="s">
        <v>695</v>
      </c>
      <c r="L25" s="566">
        <v>60530</v>
      </c>
      <c r="M25" s="564" t="s">
        <v>477</v>
      </c>
      <c r="N25" s="567"/>
      <c r="O25" s="565" t="s">
        <v>696</v>
      </c>
      <c r="P25" s="568">
        <v>0.1</v>
      </c>
      <c r="Q25" s="569" t="s">
        <v>697</v>
      </c>
      <c r="R25" s="570">
        <f t="shared" si="3"/>
        <v>6053</v>
      </c>
      <c r="T25" s="586">
        <f>T26-S26</f>
        <v>-6318.3999999999942</v>
      </c>
    </row>
    <row r="26" spans="1:20" s="200" customFormat="1" x14ac:dyDescent="0.25">
      <c r="A26" s="585" t="s">
        <v>449</v>
      </c>
      <c r="B26" s="562" t="s">
        <v>625</v>
      </c>
      <c r="C26" s="563">
        <v>3</v>
      </c>
      <c r="D26" s="561"/>
      <c r="E26" s="563"/>
      <c r="F26" s="563"/>
      <c r="G26" s="563"/>
      <c r="H26" s="563"/>
      <c r="I26" s="563"/>
      <c r="J26" s="564" t="s">
        <v>694</v>
      </c>
      <c r="K26" s="565" t="s">
        <v>695</v>
      </c>
      <c r="L26" s="566">
        <v>48975</v>
      </c>
      <c r="M26" s="564" t="s">
        <v>477</v>
      </c>
      <c r="N26" s="567"/>
      <c r="O26" s="565" t="s">
        <v>696</v>
      </c>
      <c r="P26" s="568">
        <v>0.1</v>
      </c>
      <c r="Q26" s="569" t="s">
        <v>697</v>
      </c>
      <c r="R26" s="570">
        <f t="shared" si="3"/>
        <v>4897.5</v>
      </c>
      <c r="S26" s="586">
        <f>SUM(R21:R26)</f>
        <v>75793.399999999994</v>
      </c>
      <c r="T26" s="586">
        <f>'kuni 2025 detsember tegevuskava'!AE51</f>
        <v>69475</v>
      </c>
    </row>
    <row r="27" spans="1:20" s="200" customFormat="1" x14ac:dyDescent="0.25">
      <c r="A27" s="585" t="s">
        <v>699</v>
      </c>
      <c r="B27" s="562" t="s">
        <v>614</v>
      </c>
      <c r="C27" s="563">
        <v>3</v>
      </c>
      <c r="D27" s="561"/>
      <c r="E27" s="563"/>
      <c r="F27" s="563"/>
      <c r="G27" s="563"/>
      <c r="H27" s="563"/>
      <c r="I27" s="563"/>
      <c r="J27" s="565" t="s">
        <v>477</v>
      </c>
      <c r="K27" s="565" t="s">
        <v>698</v>
      </c>
      <c r="L27" s="566">
        <v>45457</v>
      </c>
      <c r="M27" s="564" t="s">
        <v>477</v>
      </c>
      <c r="N27" s="567"/>
      <c r="O27" s="565" t="s">
        <v>696</v>
      </c>
      <c r="P27" s="568">
        <v>0.4</v>
      </c>
      <c r="Q27" s="569" t="s">
        <v>697</v>
      </c>
      <c r="R27" s="570">
        <f>L27*P27</f>
        <v>18182.8</v>
      </c>
    </row>
    <row r="28" spans="1:20" s="200" customFormat="1" x14ac:dyDescent="0.25">
      <c r="A28" s="585" t="s">
        <v>699</v>
      </c>
      <c r="B28" s="562" t="s">
        <v>621</v>
      </c>
      <c r="C28" s="588">
        <v>2</v>
      </c>
      <c r="D28" s="561"/>
      <c r="E28" s="563"/>
      <c r="F28" s="563"/>
      <c r="G28" s="563"/>
      <c r="H28" s="563"/>
      <c r="I28" s="563"/>
      <c r="J28" s="565" t="s">
        <v>694</v>
      </c>
      <c r="K28" s="565" t="s">
        <v>695</v>
      </c>
      <c r="L28" s="587">
        <v>46790</v>
      </c>
      <c r="M28" s="564" t="s">
        <v>477</v>
      </c>
      <c r="N28" s="567"/>
      <c r="O28" s="565" t="s">
        <v>696</v>
      </c>
      <c r="P28" s="568">
        <v>0.2</v>
      </c>
      <c r="Q28" s="569" t="s">
        <v>697</v>
      </c>
      <c r="R28" s="570">
        <f>L28*P28</f>
        <v>9358</v>
      </c>
    </row>
    <row r="29" spans="1:20" s="549" customFormat="1" x14ac:dyDescent="0.25">
      <c r="A29" s="585" t="s">
        <v>699</v>
      </c>
      <c r="B29" s="562" t="s">
        <v>622</v>
      </c>
      <c r="C29" s="563">
        <v>3</v>
      </c>
      <c r="D29" s="561"/>
      <c r="E29" s="563"/>
      <c r="F29" s="563"/>
      <c r="G29" s="563"/>
      <c r="H29" s="563"/>
      <c r="I29" s="563"/>
      <c r="J29" s="564" t="s">
        <v>694</v>
      </c>
      <c r="K29" s="565" t="s">
        <v>695</v>
      </c>
      <c r="L29" s="566">
        <v>85016</v>
      </c>
      <c r="M29" s="564" t="s">
        <v>477</v>
      </c>
      <c r="N29" s="567"/>
      <c r="O29" s="565" t="s">
        <v>696</v>
      </c>
      <c r="P29" s="568">
        <v>0.2</v>
      </c>
      <c r="Q29" s="569" t="s">
        <v>697</v>
      </c>
      <c r="R29" s="570">
        <f>L29*P29</f>
        <v>17003.2</v>
      </c>
    </row>
    <row r="30" spans="1:20" s="549" customFormat="1" x14ac:dyDescent="0.25">
      <c r="A30" s="585" t="s">
        <v>699</v>
      </c>
      <c r="B30" s="562" t="s">
        <v>619</v>
      </c>
      <c r="C30" s="563">
        <v>3</v>
      </c>
      <c r="D30" s="561"/>
      <c r="E30" s="563"/>
      <c r="F30" s="563"/>
      <c r="G30" s="563"/>
      <c r="H30" s="563"/>
      <c r="I30" s="563"/>
      <c r="J30" s="564" t="s">
        <v>694</v>
      </c>
      <c r="K30" s="565" t="s">
        <v>695</v>
      </c>
      <c r="L30" s="566">
        <v>60637</v>
      </c>
      <c r="M30" s="564" t="s">
        <v>477</v>
      </c>
      <c r="N30" s="567"/>
      <c r="O30" s="565" t="s">
        <v>696</v>
      </c>
      <c r="P30" s="568">
        <v>0.4</v>
      </c>
      <c r="Q30" s="569" t="s">
        <v>697</v>
      </c>
      <c r="R30" s="570">
        <f t="shared" ref="R30:R33" si="4">L30*P30</f>
        <v>24254.800000000003</v>
      </c>
    </row>
    <row r="31" spans="1:20" s="200" customFormat="1" x14ac:dyDescent="0.25">
      <c r="A31" s="585" t="s">
        <v>699</v>
      </c>
      <c r="B31" s="562" t="s">
        <v>624</v>
      </c>
      <c r="C31" s="563">
        <v>3</v>
      </c>
      <c r="D31" s="561"/>
      <c r="E31" s="563"/>
      <c r="F31" s="563"/>
      <c r="G31" s="563"/>
      <c r="H31" s="563"/>
      <c r="I31" s="563"/>
      <c r="J31" s="564" t="s">
        <v>694</v>
      </c>
      <c r="K31" s="565" t="s">
        <v>695</v>
      </c>
      <c r="L31" s="566">
        <v>46834</v>
      </c>
      <c r="M31" s="564" t="s">
        <v>477</v>
      </c>
      <c r="N31" s="567"/>
      <c r="O31" s="565" t="s">
        <v>696</v>
      </c>
      <c r="P31" s="568">
        <v>0.2</v>
      </c>
      <c r="Q31" s="569" t="s">
        <v>697</v>
      </c>
      <c r="R31" s="570">
        <f t="shared" si="4"/>
        <v>9366.8000000000011</v>
      </c>
    </row>
    <row r="32" spans="1:20" s="200" customFormat="1" x14ac:dyDescent="0.25">
      <c r="A32" s="585" t="s">
        <v>699</v>
      </c>
      <c r="B32" s="562" t="s">
        <v>620</v>
      </c>
      <c r="C32" s="563">
        <v>3</v>
      </c>
      <c r="D32" s="561"/>
      <c r="E32" s="563"/>
      <c r="F32" s="563"/>
      <c r="G32" s="563"/>
      <c r="H32" s="563"/>
      <c r="I32" s="563"/>
      <c r="J32" s="564" t="s">
        <v>694</v>
      </c>
      <c r="K32" s="565" t="s">
        <v>695</v>
      </c>
      <c r="L32" s="566">
        <v>60530</v>
      </c>
      <c r="M32" s="564" t="s">
        <v>477</v>
      </c>
      <c r="N32" s="567"/>
      <c r="O32" s="565" t="s">
        <v>696</v>
      </c>
      <c r="P32" s="568">
        <v>0.15</v>
      </c>
      <c r="Q32" s="569" t="s">
        <v>697</v>
      </c>
      <c r="R32" s="570">
        <f t="shared" si="4"/>
        <v>9079.5</v>
      </c>
    </row>
    <row r="33" spans="1:21" s="200" customFormat="1" x14ac:dyDescent="0.25">
      <c r="A33" s="585" t="s">
        <v>699</v>
      </c>
      <c r="B33" s="562" t="s">
        <v>625</v>
      </c>
      <c r="C33" s="563">
        <v>3</v>
      </c>
      <c r="D33" s="561"/>
      <c r="E33" s="563"/>
      <c r="F33" s="563"/>
      <c r="G33" s="563"/>
      <c r="H33" s="563"/>
      <c r="I33" s="563"/>
      <c r="J33" s="564" t="s">
        <v>694</v>
      </c>
      <c r="K33" s="565" t="s">
        <v>695</v>
      </c>
      <c r="L33" s="566">
        <v>48975</v>
      </c>
      <c r="M33" s="564" t="s">
        <v>477</v>
      </c>
      <c r="N33" s="567"/>
      <c r="O33" s="565" t="s">
        <v>696</v>
      </c>
      <c r="P33" s="568">
        <v>0.15</v>
      </c>
      <c r="Q33" s="569" t="s">
        <v>697</v>
      </c>
      <c r="R33" s="570">
        <f t="shared" si="4"/>
        <v>7346.25</v>
      </c>
      <c r="T33" s="586">
        <f>T34-S34</f>
        <v>-7985.8500000000058</v>
      </c>
    </row>
    <row r="34" spans="1:21" s="200" customFormat="1" x14ac:dyDescent="0.25">
      <c r="A34" s="585" t="s">
        <v>699</v>
      </c>
      <c r="B34" t="s">
        <v>623</v>
      </c>
      <c r="C34" s="563">
        <v>3</v>
      </c>
      <c r="D34" s="561"/>
      <c r="E34" s="563"/>
      <c r="F34" s="563"/>
      <c r="G34" s="563"/>
      <c r="H34" s="563"/>
      <c r="I34" s="563"/>
      <c r="J34" s="564" t="s">
        <v>694</v>
      </c>
      <c r="K34" s="565" t="s">
        <v>695</v>
      </c>
      <c r="L34" s="566">
        <v>59258</v>
      </c>
      <c r="M34" s="564" t="s">
        <v>477</v>
      </c>
      <c r="N34" s="567"/>
      <c r="O34" s="565" t="s">
        <v>696</v>
      </c>
      <c r="P34" s="568">
        <v>0.25</v>
      </c>
      <c r="Q34" s="569" t="s">
        <v>697</v>
      </c>
      <c r="R34" s="570">
        <f t="shared" ref="R34" si="5">L34*P34</f>
        <v>14814.5</v>
      </c>
      <c r="S34" s="200">
        <f>SUM(R27:R34)</f>
        <v>109405.85</v>
      </c>
      <c r="T34" s="586">
        <f>'kuni 2025 detsember tegevuskava'!AE52</f>
        <v>101420</v>
      </c>
    </row>
    <row r="35" spans="1:21" s="200" customFormat="1" x14ac:dyDescent="0.25">
      <c r="A35" s="585" t="s">
        <v>198</v>
      </c>
      <c r="B35" s="562" t="s">
        <v>621</v>
      </c>
      <c r="C35" s="588">
        <v>2</v>
      </c>
      <c r="D35" s="561"/>
      <c r="E35" s="563"/>
      <c r="F35" s="563"/>
      <c r="G35" s="563"/>
      <c r="H35" s="563"/>
      <c r="I35" s="563"/>
      <c r="J35" s="565" t="s">
        <v>694</v>
      </c>
      <c r="K35" s="565" t="s">
        <v>695</v>
      </c>
      <c r="L35" s="587">
        <v>46790</v>
      </c>
      <c r="M35" s="564" t="s">
        <v>477</v>
      </c>
      <c r="N35" s="567"/>
      <c r="O35" s="565" t="s">
        <v>696</v>
      </c>
      <c r="P35" s="568">
        <v>0.1</v>
      </c>
      <c r="Q35" s="569" t="s">
        <v>697</v>
      </c>
      <c r="R35" s="570">
        <f>L35*P35</f>
        <v>4679</v>
      </c>
    </row>
    <row r="36" spans="1:21" s="549" customFormat="1" x14ac:dyDescent="0.25">
      <c r="A36" s="585" t="s">
        <v>198</v>
      </c>
      <c r="B36" s="562" t="s">
        <v>619</v>
      </c>
      <c r="C36" s="563">
        <v>3</v>
      </c>
      <c r="D36" s="561"/>
      <c r="E36" s="563"/>
      <c r="F36" s="563"/>
      <c r="G36" s="563"/>
      <c r="H36" s="563"/>
      <c r="I36" s="563"/>
      <c r="J36" s="564" t="s">
        <v>694</v>
      </c>
      <c r="K36" s="565" t="s">
        <v>695</v>
      </c>
      <c r="L36" s="566">
        <v>60637</v>
      </c>
      <c r="M36" s="564" t="s">
        <v>477</v>
      </c>
      <c r="N36" s="567"/>
      <c r="O36" s="565" t="s">
        <v>696</v>
      </c>
      <c r="P36" s="568">
        <v>0.1</v>
      </c>
      <c r="Q36" s="569" t="s">
        <v>697</v>
      </c>
      <c r="R36" s="570">
        <f t="shared" ref="R36:R39" si="6">L36*P36</f>
        <v>6063.7000000000007</v>
      </c>
    </row>
    <row r="37" spans="1:21" s="200" customFormat="1" x14ac:dyDescent="0.25">
      <c r="A37" s="585" t="s">
        <v>198</v>
      </c>
      <c r="B37" s="562" t="s">
        <v>624</v>
      </c>
      <c r="C37" s="563">
        <v>3</v>
      </c>
      <c r="D37" s="561"/>
      <c r="E37" s="563"/>
      <c r="F37" s="563"/>
      <c r="G37" s="563"/>
      <c r="H37" s="563"/>
      <c r="I37" s="563"/>
      <c r="J37" s="564" t="s">
        <v>694</v>
      </c>
      <c r="K37" s="565" t="s">
        <v>695</v>
      </c>
      <c r="L37" s="566">
        <v>46834</v>
      </c>
      <c r="M37" s="564" t="s">
        <v>477</v>
      </c>
      <c r="N37" s="567"/>
      <c r="O37" s="565" t="s">
        <v>696</v>
      </c>
      <c r="P37" s="568">
        <v>0.1</v>
      </c>
      <c r="Q37" s="569" t="s">
        <v>697</v>
      </c>
      <c r="R37" s="570">
        <f t="shared" si="6"/>
        <v>4683.4000000000005</v>
      </c>
    </row>
    <row r="38" spans="1:21" s="200" customFormat="1" x14ac:dyDescent="0.25">
      <c r="A38" s="585" t="s">
        <v>198</v>
      </c>
      <c r="B38" s="562" t="s">
        <v>620</v>
      </c>
      <c r="C38" s="563">
        <v>3</v>
      </c>
      <c r="D38" s="561"/>
      <c r="E38" s="563"/>
      <c r="F38" s="563"/>
      <c r="G38" s="563"/>
      <c r="H38" s="563"/>
      <c r="I38" s="563"/>
      <c r="J38" s="564" t="s">
        <v>694</v>
      </c>
      <c r="K38" s="565" t="s">
        <v>695</v>
      </c>
      <c r="L38" s="566">
        <v>60530</v>
      </c>
      <c r="M38" s="564" t="s">
        <v>477</v>
      </c>
      <c r="N38" s="567"/>
      <c r="O38" s="565" t="s">
        <v>696</v>
      </c>
      <c r="P38" s="568">
        <v>0.1</v>
      </c>
      <c r="Q38" s="569" t="s">
        <v>697</v>
      </c>
      <c r="R38" s="570">
        <f t="shared" si="6"/>
        <v>6053</v>
      </c>
      <c r="T38" s="586">
        <f>T39-S39</f>
        <v>-1905.3500000000022</v>
      </c>
    </row>
    <row r="39" spans="1:21" s="200" customFormat="1" x14ac:dyDescent="0.25">
      <c r="A39" s="585" t="s">
        <v>198</v>
      </c>
      <c r="B39" s="562" t="s">
        <v>625</v>
      </c>
      <c r="C39" s="563">
        <v>3</v>
      </c>
      <c r="D39" s="561"/>
      <c r="E39" s="563"/>
      <c r="F39" s="563"/>
      <c r="G39" s="563"/>
      <c r="H39" s="563"/>
      <c r="I39" s="563"/>
      <c r="J39" s="564" t="s">
        <v>694</v>
      </c>
      <c r="K39" s="565" t="s">
        <v>695</v>
      </c>
      <c r="L39" s="566">
        <v>48975</v>
      </c>
      <c r="M39" s="564" t="s">
        <v>477</v>
      </c>
      <c r="N39" s="567"/>
      <c r="O39" s="565" t="s">
        <v>696</v>
      </c>
      <c r="P39" s="568">
        <v>0.15</v>
      </c>
      <c r="Q39" s="569" t="s">
        <v>697</v>
      </c>
      <c r="R39" s="570">
        <f t="shared" si="6"/>
        <v>7346.25</v>
      </c>
      <c r="S39" s="586">
        <f>SUM(R35:R39)</f>
        <v>28825.350000000002</v>
      </c>
      <c r="T39" s="586">
        <f>'kuni 2025 detsember tegevuskava'!AE53</f>
        <v>26920</v>
      </c>
    </row>
    <row r="40" spans="1:21" s="200" customFormat="1" x14ac:dyDescent="0.25">
      <c r="A40" s="544" t="s">
        <v>224</v>
      </c>
      <c r="B40" s="562" t="s">
        <v>622</v>
      </c>
      <c r="C40" s="563">
        <v>3</v>
      </c>
      <c r="D40" s="561"/>
      <c r="E40" s="563"/>
      <c r="F40" s="563"/>
      <c r="G40" s="563"/>
      <c r="H40" s="563"/>
      <c r="I40" s="563"/>
      <c r="J40" s="564" t="s">
        <v>694</v>
      </c>
      <c r="K40" s="565" t="s">
        <v>695</v>
      </c>
      <c r="L40" s="566">
        <v>85016</v>
      </c>
      <c r="M40" s="564" t="s">
        <v>477</v>
      </c>
      <c r="N40" s="567"/>
      <c r="O40" s="565" t="s">
        <v>696</v>
      </c>
      <c r="P40" s="568">
        <v>0.1</v>
      </c>
      <c r="Q40" s="569" t="s">
        <v>697</v>
      </c>
      <c r="R40" s="570">
        <f>L40*P40</f>
        <v>8501.6</v>
      </c>
    </row>
    <row r="41" spans="1:21" s="549" customFormat="1" x14ac:dyDescent="0.25">
      <c r="A41" s="544" t="s">
        <v>224</v>
      </c>
      <c r="B41" s="562" t="s">
        <v>619</v>
      </c>
      <c r="C41" s="563">
        <v>3</v>
      </c>
      <c r="D41" s="561"/>
      <c r="E41" s="563"/>
      <c r="F41" s="563"/>
      <c r="G41" s="563"/>
      <c r="H41" s="563"/>
      <c r="I41" s="563"/>
      <c r="J41" s="564" t="s">
        <v>694</v>
      </c>
      <c r="K41" s="565" t="s">
        <v>695</v>
      </c>
      <c r="L41" s="566">
        <v>60637</v>
      </c>
      <c r="M41" s="564" t="s">
        <v>477</v>
      </c>
      <c r="N41" s="567"/>
      <c r="O41" s="565" t="s">
        <v>696</v>
      </c>
      <c r="P41" s="568">
        <v>0.3</v>
      </c>
      <c r="Q41" s="569" t="s">
        <v>697</v>
      </c>
      <c r="R41" s="570">
        <f t="shared" ref="R41:R43" si="7">L41*P41</f>
        <v>18191.099999999999</v>
      </c>
    </row>
    <row r="42" spans="1:21" s="200" customFormat="1" x14ac:dyDescent="0.25">
      <c r="A42" s="544" t="s">
        <v>224</v>
      </c>
      <c r="B42" s="550" t="s">
        <v>624</v>
      </c>
      <c r="C42" s="563">
        <v>3</v>
      </c>
      <c r="D42" s="561"/>
      <c r="E42" s="563"/>
      <c r="F42" s="563"/>
      <c r="G42" s="563"/>
      <c r="H42" s="563"/>
      <c r="I42" s="563"/>
      <c r="J42" s="564" t="s">
        <v>694</v>
      </c>
      <c r="K42" s="565" t="s">
        <v>695</v>
      </c>
      <c r="L42" s="566">
        <v>46834</v>
      </c>
      <c r="M42" s="564" t="s">
        <v>477</v>
      </c>
      <c r="N42" s="567"/>
      <c r="O42" s="565" t="s">
        <v>696</v>
      </c>
      <c r="P42" s="568">
        <v>0.25</v>
      </c>
      <c r="Q42" s="569" t="s">
        <v>697</v>
      </c>
      <c r="R42" s="570">
        <f t="shared" si="7"/>
        <v>11708.5</v>
      </c>
      <c r="S42"/>
      <c r="T42" s="586">
        <f>T43-S43</f>
        <v>-53533.7</v>
      </c>
    </row>
    <row r="43" spans="1:21" x14ac:dyDescent="0.25">
      <c r="A43" s="544" t="s">
        <v>224</v>
      </c>
      <c r="B43" s="562" t="s">
        <v>620</v>
      </c>
      <c r="C43" s="563">
        <v>3</v>
      </c>
      <c r="D43" s="561"/>
      <c r="E43" s="563"/>
      <c r="F43" s="563"/>
      <c r="G43" s="563"/>
      <c r="H43" s="563"/>
      <c r="I43" s="563"/>
      <c r="J43" s="564" t="s">
        <v>694</v>
      </c>
      <c r="K43" s="565" t="s">
        <v>695</v>
      </c>
      <c r="L43" s="566">
        <v>60530</v>
      </c>
      <c r="M43" s="564" t="s">
        <v>477</v>
      </c>
      <c r="N43" s="567"/>
      <c r="O43" s="565" t="s">
        <v>696</v>
      </c>
      <c r="P43" s="568">
        <v>0.25</v>
      </c>
      <c r="Q43" s="569" t="s">
        <v>697</v>
      </c>
      <c r="R43" s="570">
        <f t="shared" si="7"/>
        <v>15132.5</v>
      </c>
      <c r="S43" s="586">
        <f>SUM(R40:R43)</f>
        <v>53533.7</v>
      </c>
      <c r="T43" s="586">
        <f>'kuni 2025 detsember tegevuskava'!AE61</f>
        <v>0</v>
      </c>
    </row>
    <row r="44" spans="1:21" s="200" customFormat="1" x14ac:dyDescent="0.25">
      <c r="A44" s="544" t="s">
        <v>229</v>
      </c>
      <c r="B44" s="562" t="s">
        <v>619</v>
      </c>
      <c r="C44" s="563">
        <v>3</v>
      </c>
      <c r="D44" s="561"/>
      <c r="E44" s="563"/>
      <c r="F44" s="563"/>
      <c r="G44" s="563"/>
      <c r="H44" s="563"/>
      <c r="I44" s="563"/>
      <c r="J44" s="564" t="s">
        <v>694</v>
      </c>
      <c r="K44" s="565" t="s">
        <v>695</v>
      </c>
      <c r="L44" s="566">
        <v>60637</v>
      </c>
      <c r="M44" s="564" t="s">
        <v>477</v>
      </c>
      <c r="N44" s="567"/>
      <c r="O44" s="565" t="s">
        <v>696</v>
      </c>
      <c r="P44" s="568">
        <v>0.2</v>
      </c>
      <c r="Q44" s="569" t="s">
        <v>697</v>
      </c>
      <c r="R44" s="570">
        <f t="shared" ref="R44:R55" si="8">L44*P44</f>
        <v>12127.400000000001</v>
      </c>
    </row>
    <row r="45" spans="1:21" s="549" customFormat="1" x14ac:dyDescent="0.25">
      <c r="A45" s="544" t="s">
        <v>229</v>
      </c>
      <c r="B45" s="550" t="s">
        <v>624</v>
      </c>
      <c r="C45" s="563">
        <v>3</v>
      </c>
      <c r="D45" s="561"/>
      <c r="E45" s="563"/>
      <c r="F45" s="563"/>
      <c r="G45" s="563"/>
      <c r="H45" s="563"/>
      <c r="I45" s="563"/>
      <c r="J45" s="564" t="s">
        <v>694</v>
      </c>
      <c r="K45" s="565" t="s">
        <v>695</v>
      </c>
      <c r="L45" s="566">
        <v>46834</v>
      </c>
      <c r="M45" s="564" t="s">
        <v>477</v>
      </c>
      <c r="N45" s="567"/>
      <c r="O45" s="565" t="s">
        <v>696</v>
      </c>
      <c r="P45" s="568">
        <v>0.25</v>
      </c>
      <c r="Q45" s="569" t="s">
        <v>697</v>
      </c>
      <c r="R45" s="570">
        <f t="shared" si="8"/>
        <v>11708.5</v>
      </c>
      <c r="S45" s="200"/>
      <c r="T45" s="586">
        <f>T46-S46</f>
        <v>-2668.4000000000015</v>
      </c>
    </row>
    <row r="46" spans="1:21" s="200" customFormat="1" x14ac:dyDescent="0.25">
      <c r="A46" s="544" t="s">
        <v>229</v>
      </c>
      <c r="B46" s="562" t="s">
        <v>620</v>
      </c>
      <c r="C46" s="563">
        <v>3</v>
      </c>
      <c r="D46" s="561"/>
      <c r="E46" s="563"/>
      <c r="F46" s="563"/>
      <c r="G46" s="563"/>
      <c r="H46" s="563"/>
      <c r="I46" s="563"/>
      <c r="J46" s="564" t="s">
        <v>694</v>
      </c>
      <c r="K46" s="565" t="s">
        <v>695</v>
      </c>
      <c r="L46" s="566">
        <v>60530</v>
      </c>
      <c r="M46" s="564" t="s">
        <v>477</v>
      </c>
      <c r="N46" s="567"/>
      <c r="O46" s="565" t="s">
        <v>696</v>
      </c>
      <c r="P46" s="568">
        <v>0.25</v>
      </c>
      <c r="Q46" s="569" t="s">
        <v>697</v>
      </c>
      <c r="R46" s="570">
        <f t="shared" si="8"/>
        <v>15132.5</v>
      </c>
      <c r="S46" s="586">
        <f>SUM(R44:R46)</f>
        <v>38968.400000000001</v>
      </c>
      <c r="T46" s="586">
        <f>'kuni 2025 detsember tegevuskava'!AE62</f>
        <v>36300</v>
      </c>
    </row>
    <row r="47" spans="1:21" s="200" customFormat="1" x14ac:dyDescent="0.25">
      <c r="A47" s="585" t="s">
        <v>129</v>
      </c>
      <c r="B47" s="562" t="s">
        <v>700</v>
      </c>
      <c r="C47" s="563">
        <v>3</v>
      </c>
      <c r="D47" s="561" t="s">
        <v>129</v>
      </c>
      <c r="E47" s="563"/>
      <c r="F47" s="563"/>
      <c r="G47" s="563"/>
      <c r="H47" s="563"/>
      <c r="I47" s="563"/>
      <c r="J47" s="564" t="s">
        <v>694</v>
      </c>
      <c r="K47" s="565" t="s">
        <v>695</v>
      </c>
      <c r="L47" s="566">
        <v>82795</v>
      </c>
      <c r="M47" s="564" t="s">
        <v>477</v>
      </c>
      <c r="N47" s="567"/>
      <c r="O47" s="565" t="s">
        <v>696</v>
      </c>
      <c r="P47" s="568">
        <v>0.5</v>
      </c>
      <c r="Q47" s="569" t="s">
        <v>697</v>
      </c>
      <c r="R47" s="570">
        <f t="shared" si="8"/>
        <v>41397.5</v>
      </c>
      <c r="U47" s="589" t="s">
        <v>701</v>
      </c>
    </row>
    <row r="48" spans="1:21" s="200" customFormat="1" x14ac:dyDescent="0.25">
      <c r="A48" s="585" t="s">
        <v>214</v>
      </c>
      <c r="B48" s="562" t="s">
        <v>702</v>
      </c>
      <c r="C48" s="563">
        <v>3</v>
      </c>
      <c r="D48" s="561"/>
      <c r="E48" s="563"/>
      <c r="F48" s="563" t="s">
        <v>572</v>
      </c>
      <c r="G48" s="563"/>
      <c r="H48" s="563"/>
      <c r="I48" s="563"/>
      <c r="J48" s="564" t="s">
        <v>477</v>
      </c>
      <c r="K48" s="565" t="s">
        <v>698</v>
      </c>
      <c r="L48" s="566">
        <f>3500.7*12*1.338*1.05/12*5</f>
        <v>24590.667150000001</v>
      </c>
      <c r="M48" s="564" t="s">
        <v>477</v>
      </c>
      <c r="N48" s="567"/>
      <c r="O48" s="565" t="s">
        <v>696</v>
      </c>
      <c r="P48" s="568">
        <v>1</v>
      </c>
      <c r="Q48" s="569" t="s">
        <v>697</v>
      </c>
      <c r="R48" s="590">
        <f>3500.7*12*1.338*1.05*1.05</f>
        <v>61968.481218000001</v>
      </c>
      <c r="T48" s="586">
        <f>T49-S49</f>
        <v>-9936.9624360000016</v>
      </c>
      <c r="U48" s="200" t="s">
        <v>703</v>
      </c>
    </row>
    <row r="49" spans="1:21" s="200" customFormat="1" x14ac:dyDescent="0.25">
      <c r="A49" s="585" t="s">
        <v>214</v>
      </c>
      <c r="B49" s="562" t="s">
        <v>702</v>
      </c>
      <c r="C49" s="563">
        <v>3</v>
      </c>
      <c r="D49" s="561"/>
      <c r="E49" s="563"/>
      <c r="F49" s="563" t="s">
        <v>572</v>
      </c>
      <c r="G49" s="563"/>
      <c r="H49" s="563"/>
      <c r="I49" s="563"/>
      <c r="J49" s="564" t="s">
        <v>694</v>
      </c>
      <c r="K49" s="565" t="s">
        <v>695</v>
      </c>
      <c r="L49" s="566">
        <f>3500.7*12*1.338*1.05</f>
        <v>59017.601159999998</v>
      </c>
      <c r="M49" s="564" t="s">
        <v>477</v>
      </c>
      <c r="N49" s="567"/>
      <c r="O49" s="565" t="s">
        <v>696</v>
      </c>
      <c r="P49" s="568">
        <v>1</v>
      </c>
      <c r="Q49" s="569" t="s">
        <v>697</v>
      </c>
      <c r="R49" s="590">
        <f>3500.7*12*1.338*1.05*1.05</f>
        <v>61968.481218000001</v>
      </c>
      <c r="S49" s="591">
        <f>SUM(R48:R49)</f>
        <v>123936.962436</v>
      </c>
      <c r="T49" s="586">
        <f>'kuni 2025 detsember tegevuskava'!AE57</f>
        <v>114000</v>
      </c>
      <c r="U49" s="200" t="s">
        <v>704</v>
      </c>
    </row>
    <row r="50" spans="1:21" s="200" customFormat="1" x14ac:dyDescent="0.25">
      <c r="A50" s="585" t="s">
        <v>238</v>
      </c>
      <c r="B50" s="562" t="s">
        <v>614</v>
      </c>
      <c r="C50" s="563">
        <v>3</v>
      </c>
      <c r="D50" s="561"/>
      <c r="E50" s="563"/>
      <c r="F50" s="563" t="s">
        <v>572</v>
      </c>
      <c r="G50" s="563"/>
      <c r="H50" s="563"/>
      <c r="I50" s="563"/>
      <c r="J50" s="564" t="s">
        <v>477</v>
      </c>
      <c r="K50" s="565" t="s">
        <v>698</v>
      </c>
      <c r="L50" s="566">
        <v>45457</v>
      </c>
      <c r="M50" s="564" t="s">
        <v>477</v>
      </c>
      <c r="N50" s="567"/>
      <c r="O50" s="565" t="s">
        <v>696</v>
      </c>
      <c r="P50" s="568">
        <v>1</v>
      </c>
      <c r="Q50" s="569" t="s">
        <v>697</v>
      </c>
      <c r="R50" s="570">
        <f t="shared" si="8"/>
        <v>45457</v>
      </c>
      <c r="T50" s="586"/>
    </row>
    <row r="51" spans="1:21" s="200" customFormat="1" x14ac:dyDescent="0.25">
      <c r="A51" s="585" t="s">
        <v>238</v>
      </c>
      <c r="B51" s="562" t="s">
        <v>614</v>
      </c>
      <c r="C51" s="563">
        <v>3</v>
      </c>
      <c r="D51" s="561"/>
      <c r="E51" s="563"/>
      <c r="F51" s="563" t="s">
        <v>572</v>
      </c>
      <c r="G51" s="563"/>
      <c r="H51" s="563"/>
      <c r="I51" s="563"/>
      <c r="J51" s="564" t="s">
        <v>477</v>
      </c>
      <c r="K51" s="565" t="s">
        <v>698</v>
      </c>
      <c r="L51" s="566">
        <v>45457</v>
      </c>
      <c r="M51" s="564" t="s">
        <v>477</v>
      </c>
      <c r="N51" s="567"/>
      <c r="O51" s="565" t="s">
        <v>696</v>
      </c>
      <c r="P51" s="568">
        <v>1</v>
      </c>
      <c r="Q51" s="569" t="s">
        <v>697</v>
      </c>
      <c r="R51" s="570">
        <f t="shared" si="8"/>
        <v>45457</v>
      </c>
      <c r="T51" s="586"/>
    </row>
    <row r="52" spans="1:21" s="200" customFormat="1" x14ac:dyDescent="0.25">
      <c r="A52" s="585" t="s">
        <v>238</v>
      </c>
      <c r="B52" t="s">
        <v>623</v>
      </c>
      <c r="C52" s="563">
        <v>3</v>
      </c>
      <c r="D52" s="561"/>
      <c r="E52" s="563"/>
      <c r="F52" s="563"/>
      <c r="G52" s="563"/>
      <c r="H52" s="563"/>
      <c r="I52" s="563"/>
      <c r="J52" s="564" t="s">
        <v>694</v>
      </c>
      <c r="K52" s="565" t="s">
        <v>695</v>
      </c>
      <c r="L52" s="566">
        <v>59258</v>
      </c>
      <c r="M52" s="564" t="s">
        <v>477</v>
      </c>
      <c r="N52" s="567"/>
      <c r="O52" s="565" t="s">
        <v>696</v>
      </c>
      <c r="P52" s="568">
        <v>1</v>
      </c>
      <c r="Q52" s="569" t="s">
        <v>697</v>
      </c>
      <c r="R52" s="570">
        <f t="shared" si="8"/>
        <v>59258</v>
      </c>
      <c r="T52" s="586"/>
    </row>
    <row r="53" spans="1:21" s="200" customFormat="1" x14ac:dyDescent="0.25">
      <c r="A53" s="585" t="s">
        <v>238</v>
      </c>
      <c r="B53" s="562" t="s">
        <v>622</v>
      </c>
      <c r="C53" s="563">
        <v>3</v>
      </c>
      <c r="D53" s="561"/>
      <c r="E53" s="563"/>
      <c r="F53" s="563"/>
      <c r="G53" s="563"/>
      <c r="H53" s="563"/>
      <c r="I53" s="563"/>
      <c r="J53" s="564" t="s">
        <v>694</v>
      </c>
      <c r="K53" s="565" t="s">
        <v>695</v>
      </c>
      <c r="L53" s="566">
        <v>85016</v>
      </c>
      <c r="M53" s="564" t="s">
        <v>477</v>
      </c>
      <c r="N53" s="567"/>
      <c r="O53" s="565" t="s">
        <v>696</v>
      </c>
      <c r="P53" s="568">
        <v>1</v>
      </c>
      <c r="Q53" s="569" t="s">
        <v>697</v>
      </c>
      <c r="R53" s="570">
        <f t="shared" si="8"/>
        <v>85016</v>
      </c>
      <c r="T53" s="586"/>
    </row>
    <row r="54" spans="1:21" s="200" customFormat="1" x14ac:dyDescent="0.25">
      <c r="A54" s="585" t="s">
        <v>238</v>
      </c>
      <c r="B54" s="562" t="s">
        <v>619</v>
      </c>
      <c r="C54" s="563">
        <v>3</v>
      </c>
      <c r="D54" s="561"/>
      <c r="E54" s="563"/>
      <c r="F54" s="563"/>
      <c r="G54" s="563"/>
      <c r="H54" s="563"/>
      <c r="I54" s="563"/>
      <c r="J54" s="564" t="s">
        <v>694</v>
      </c>
      <c r="K54" s="565" t="s">
        <v>695</v>
      </c>
      <c r="L54" s="566">
        <v>60637</v>
      </c>
      <c r="M54" s="564" t="s">
        <v>477</v>
      </c>
      <c r="N54" s="567"/>
      <c r="O54" s="565" t="s">
        <v>696</v>
      </c>
      <c r="P54" s="568">
        <v>1</v>
      </c>
      <c r="Q54" s="569" t="s">
        <v>697</v>
      </c>
      <c r="R54" s="570">
        <f t="shared" si="8"/>
        <v>60637</v>
      </c>
      <c r="T54" s="586">
        <f>T55-S55</f>
        <v>-32471</v>
      </c>
    </row>
    <row r="55" spans="1:21" s="200" customFormat="1" x14ac:dyDescent="0.25">
      <c r="A55" s="585" t="s">
        <v>238</v>
      </c>
      <c r="B55" s="550" t="s">
        <v>621</v>
      </c>
      <c r="C55" s="563">
        <v>4</v>
      </c>
      <c r="D55" s="561" t="s">
        <v>664</v>
      </c>
      <c r="E55" s="563"/>
      <c r="F55" s="563"/>
      <c r="G55" s="563"/>
      <c r="H55" s="563"/>
      <c r="I55" s="563"/>
      <c r="J55" s="564" t="s">
        <v>694</v>
      </c>
      <c r="K55" s="565" t="s">
        <v>695</v>
      </c>
      <c r="L55" s="566">
        <v>64296</v>
      </c>
      <c r="M55" s="564" t="s">
        <v>477</v>
      </c>
      <c r="N55" s="567"/>
      <c r="O55" s="565" t="s">
        <v>696</v>
      </c>
      <c r="P55" s="568">
        <v>1</v>
      </c>
      <c r="Q55" s="569" t="s">
        <v>697</v>
      </c>
      <c r="R55" s="570">
        <f t="shared" si="8"/>
        <v>64296</v>
      </c>
      <c r="S55" s="586">
        <f>SUM(R50:R55)</f>
        <v>360121</v>
      </c>
      <c r="T55" s="586">
        <f>'kuni 2025 detsember tegevuskava'!AE63</f>
        <v>327650</v>
      </c>
    </row>
    <row r="56" spans="1:21" x14ac:dyDescent="0.25">
      <c r="R56" s="570">
        <f>SUM(R6:R55)</f>
        <v>1043391.312436</v>
      </c>
    </row>
    <row r="57" spans="1:21" s="1" customFormat="1" x14ac:dyDescent="0.25">
      <c r="K57" s="358"/>
      <c r="Q57" s="480"/>
    </row>
    <row r="58" spans="1:21" x14ac:dyDescent="0.25">
      <c r="K58" s="359"/>
      <c r="Q58" s="480"/>
    </row>
    <row r="59" spans="1:21" hidden="1" x14ac:dyDescent="0.25">
      <c r="B59" s="360" t="s">
        <v>629</v>
      </c>
      <c r="C59">
        <v>1</v>
      </c>
      <c r="D59" t="s">
        <v>630</v>
      </c>
      <c r="J59" t="s">
        <v>694</v>
      </c>
      <c r="K59" s="359"/>
      <c r="L59" t="s">
        <v>698</v>
      </c>
      <c r="M59" t="s">
        <v>694</v>
      </c>
      <c r="O59" t="s">
        <v>696</v>
      </c>
      <c r="Q59" s="480"/>
    </row>
    <row r="60" spans="1:21" hidden="1" x14ac:dyDescent="0.25">
      <c r="B60" s="360" t="s">
        <v>631</v>
      </c>
      <c r="C60">
        <v>2</v>
      </c>
      <c r="D60" t="s">
        <v>632</v>
      </c>
      <c r="J60" t="s">
        <v>477</v>
      </c>
      <c r="K60" s="359"/>
      <c r="M60" t="s">
        <v>477</v>
      </c>
      <c r="Q60" s="480"/>
    </row>
    <row r="61" spans="1:21" hidden="1" x14ac:dyDescent="0.25">
      <c r="B61" s="360" t="s">
        <v>633</v>
      </c>
      <c r="C61">
        <v>3</v>
      </c>
      <c r="D61" t="s">
        <v>634</v>
      </c>
      <c r="K61" t="s">
        <v>705</v>
      </c>
      <c r="Q61" s="479"/>
    </row>
    <row r="62" spans="1:21" hidden="1" x14ac:dyDescent="0.25">
      <c r="B62" s="360" t="s">
        <v>635</v>
      </c>
      <c r="C62">
        <v>4</v>
      </c>
      <c r="D62" t="s">
        <v>636</v>
      </c>
      <c r="Q62" s="478"/>
    </row>
    <row r="63" spans="1:21" hidden="1" x14ac:dyDescent="0.25">
      <c r="B63" s="360" t="s">
        <v>637</v>
      </c>
      <c r="D63" t="s">
        <v>638</v>
      </c>
      <c r="Q63" s="478"/>
    </row>
    <row r="64" spans="1:21" hidden="1" x14ac:dyDescent="0.25">
      <c r="B64" s="360" t="s">
        <v>639</v>
      </c>
      <c r="D64" t="s">
        <v>640</v>
      </c>
      <c r="K64" t="s">
        <v>706</v>
      </c>
      <c r="Q64" s="478"/>
    </row>
    <row r="65" spans="2:17" hidden="1" x14ac:dyDescent="0.25">
      <c r="B65" s="360" t="s">
        <v>641</v>
      </c>
      <c r="D65" t="s">
        <v>642</v>
      </c>
      <c r="Q65" s="478"/>
    </row>
    <row r="66" spans="2:17" hidden="1" x14ac:dyDescent="0.25">
      <c r="B66" s="360" t="s">
        <v>643</v>
      </c>
      <c r="D66" t="s">
        <v>644</v>
      </c>
      <c r="Q66" s="478"/>
    </row>
    <row r="67" spans="2:17" hidden="1" x14ac:dyDescent="0.25">
      <c r="B67" s="360" t="s">
        <v>645</v>
      </c>
      <c r="D67" t="s">
        <v>646</v>
      </c>
      <c r="Q67" s="478"/>
    </row>
    <row r="68" spans="2:17" hidden="1" x14ac:dyDescent="0.25">
      <c r="B68" s="360" t="s">
        <v>647</v>
      </c>
      <c r="D68" t="s">
        <v>648</v>
      </c>
      <c r="Q68" s="478"/>
    </row>
    <row r="69" spans="2:17" hidden="1" x14ac:dyDescent="0.25">
      <c r="B69" s="360" t="s">
        <v>649</v>
      </c>
      <c r="D69" t="s">
        <v>650</v>
      </c>
      <c r="Q69" s="478"/>
    </row>
    <row r="70" spans="2:17" hidden="1" x14ac:dyDescent="0.25">
      <c r="B70" s="19"/>
      <c r="D70" t="s">
        <v>651</v>
      </c>
      <c r="Q70" s="478"/>
    </row>
    <row r="71" spans="2:17" hidden="1" x14ac:dyDescent="0.25">
      <c r="B71" s="19"/>
      <c r="D71" t="s">
        <v>652</v>
      </c>
      <c r="Q71" s="478"/>
    </row>
    <row r="72" spans="2:17" hidden="1" x14ac:dyDescent="0.25">
      <c r="D72" t="s">
        <v>653</v>
      </c>
      <c r="Q72" s="478"/>
    </row>
    <row r="73" spans="2:17" hidden="1" x14ac:dyDescent="0.25">
      <c r="D73" t="s">
        <v>654</v>
      </c>
      <c r="Q73" s="478"/>
    </row>
    <row r="74" spans="2:17" hidden="1" x14ac:dyDescent="0.25">
      <c r="D74" t="s">
        <v>655</v>
      </c>
      <c r="Q74" s="478"/>
    </row>
    <row r="75" spans="2:17" hidden="1" x14ac:dyDescent="0.25">
      <c r="D75" t="s">
        <v>656</v>
      </c>
      <c r="Q75" s="478"/>
    </row>
    <row r="76" spans="2:17" hidden="1" x14ac:dyDescent="0.25">
      <c r="D76" t="s">
        <v>657</v>
      </c>
      <c r="Q76" s="478"/>
    </row>
    <row r="77" spans="2:17" hidden="1" x14ac:dyDescent="0.25">
      <c r="D77" t="s">
        <v>658</v>
      </c>
      <c r="Q77" s="478"/>
    </row>
    <row r="78" spans="2:17" hidden="1" x14ac:dyDescent="0.25">
      <c r="D78" t="s">
        <v>659</v>
      </c>
      <c r="Q78" s="478"/>
    </row>
    <row r="79" spans="2:17" hidden="1" x14ac:dyDescent="0.25">
      <c r="D79" t="s">
        <v>660</v>
      </c>
      <c r="Q79" s="478"/>
    </row>
    <row r="80" spans="2:17" hidden="1" x14ac:dyDescent="0.25">
      <c r="D80" t="s">
        <v>661</v>
      </c>
      <c r="Q80" s="478"/>
    </row>
    <row r="81" spans="1:18" hidden="1" x14ac:dyDescent="0.25">
      <c r="D81" t="s">
        <v>662</v>
      </c>
      <c r="Q81" s="478"/>
    </row>
    <row r="82" spans="1:18" hidden="1" x14ac:dyDescent="0.25">
      <c r="D82" t="s">
        <v>663</v>
      </c>
      <c r="Q82" s="478"/>
    </row>
    <row r="83" spans="1:18" hidden="1" x14ac:dyDescent="0.25">
      <c r="D83" t="s">
        <v>664</v>
      </c>
      <c r="Q83" s="478"/>
    </row>
    <row r="84" spans="1:18" x14ac:dyDescent="0.25">
      <c r="Q84" s="478"/>
    </row>
    <row r="85" spans="1:18" x14ac:dyDescent="0.25">
      <c r="A85" t="s">
        <v>707</v>
      </c>
    </row>
    <row r="86" spans="1:18" s="356" customFormat="1" ht="165" x14ac:dyDescent="0.25">
      <c r="A86" s="355" t="s">
        <v>668</v>
      </c>
      <c r="B86" s="355" t="s">
        <v>669</v>
      </c>
      <c r="C86" s="355" t="s">
        <v>669</v>
      </c>
      <c r="D86" s="355" t="s">
        <v>670</v>
      </c>
      <c r="E86" s="814" t="s">
        <v>671</v>
      </c>
      <c r="F86" s="815"/>
      <c r="G86" s="815"/>
      <c r="H86" s="815"/>
      <c r="I86" s="816"/>
      <c r="J86" s="355" t="s">
        <v>672</v>
      </c>
      <c r="K86" s="355" t="s">
        <v>673</v>
      </c>
      <c r="L86" s="355" t="s">
        <v>674</v>
      </c>
      <c r="M86" s="355" t="s">
        <v>675</v>
      </c>
      <c r="N86" s="355" t="s">
        <v>676</v>
      </c>
      <c r="O86" s="355" t="s">
        <v>677</v>
      </c>
      <c r="P86" s="355" t="s">
        <v>678</v>
      </c>
      <c r="Q86" s="477" t="s">
        <v>679</v>
      </c>
    </row>
    <row r="87" spans="1:18" ht="34.35" customHeight="1" x14ac:dyDescent="0.25">
      <c r="A87" s="807" t="s">
        <v>681</v>
      </c>
      <c r="B87" s="807" t="s">
        <v>682</v>
      </c>
      <c r="C87" s="807" t="s">
        <v>683</v>
      </c>
      <c r="D87" s="807" t="s">
        <v>684</v>
      </c>
      <c r="E87" s="818" t="s">
        <v>685</v>
      </c>
      <c r="F87" s="815"/>
      <c r="G87" s="815"/>
      <c r="H87" s="815"/>
      <c r="I87" s="816"/>
      <c r="J87" s="807" t="s">
        <v>686</v>
      </c>
      <c r="K87" s="807" t="s">
        <v>687</v>
      </c>
      <c r="L87" s="811" t="s">
        <v>688</v>
      </c>
      <c r="M87" s="811" t="s">
        <v>689</v>
      </c>
      <c r="N87" s="811" t="s">
        <v>690</v>
      </c>
      <c r="O87" s="807" t="s">
        <v>691</v>
      </c>
      <c r="P87" s="807" t="s">
        <v>692</v>
      </c>
      <c r="Q87" s="809" t="s">
        <v>693</v>
      </c>
    </row>
    <row r="88" spans="1:18" ht="27.6" customHeight="1" x14ac:dyDescent="0.25">
      <c r="A88" s="817"/>
      <c r="B88" s="808"/>
      <c r="C88" s="817"/>
      <c r="D88" s="817"/>
      <c r="E88" s="357">
        <v>2023</v>
      </c>
      <c r="F88" s="357">
        <v>2024</v>
      </c>
      <c r="G88" s="357">
        <v>2025</v>
      </c>
      <c r="H88" s="357">
        <v>2026</v>
      </c>
      <c r="I88" s="357">
        <v>2027</v>
      </c>
      <c r="J88" s="808"/>
      <c r="K88" s="808"/>
      <c r="L88" s="812"/>
      <c r="M88" s="812"/>
      <c r="N88" s="813"/>
      <c r="O88" s="808"/>
      <c r="P88" s="808"/>
      <c r="Q88" s="810"/>
    </row>
    <row r="89" spans="1:18" s="533" customFormat="1" x14ac:dyDescent="0.25">
      <c r="A89" s="540" t="s">
        <v>204</v>
      </c>
      <c r="B89" s="534" t="s">
        <v>647</v>
      </c>
      <c r="C89" s="542">
        <v>4</v>
      </c>
      <c r="D89" s="534"/>
      <c r="E89" s="535"/>
      <c r="F89" s="535"/>
      <c r="G89" s="535"/>
      <c r="H89" s="535"/>
      <c r="I89" s="535"/>
      <c r="J89" s="535" t="s">
        <v>694</v>
      </c>
      <c r="K89" s="535" t="s">
        <v>695</v>
      </c>
      <c r="L89" s="537">
        <f>2690*13*1.338*1.07*1.05</f>
        <v>52568.407710000007</v>
      </c>
      <c r="M89" s="541" t="s">
        <v>477</v>
      </c>
      <c r="N89" s="534"/>
      <c r="O89" s="535" t="s">
        <v>696</v>
      </c>
      <c r="P89" s="542">
        <v>1</v>
      </c>
      <c r="Q89" s="542" t="s">
        <v>708</v>
      </c>
      <c r="R89" s="532"/>
    </row>
    <row r="90" spans="1:18" s="533" customFormat="1" x14ac:dyDescent="0.25">
      <c r="A90" s="540" t="s">
        <v>204</v>
      </c>
      <c r="B90" s="534" t="s">
        <v>647</v>
      </c>
      <c r="C90" s="542">
        <v>4</v>
      </c>
      <c r="D90" s="534"/>
      <c r="E90" s="535"/>
      <c r="F90" s="535" t="s">
        <v>572</v>
      </c>
      <c r="G90" s="535"/>
      <c r="H90" s="535"/>
      <c r="I90" s="535"/>
      <c r="J90" s="535" t="s">
        <v>477</v>
      </c>
      <c r="K90" s="535" t="s">
        <v>698</v>
      </c>
      <c r="L90" s="537">
        <f>2690*13*1.338*1.07*1.05</f>
        <v>52568.407710000007</v>
      </c>
      <c r="M90" s="541" t="s">
        <v>477</v>
      </c>
      <c r="N90" s="534"/>
      <c r="O90" s="535" t="s">
        <v>696</v>
      </c>
      <c r="P90" s="542">
        <v>1</v>
      </c>
      <c r="Q90" s="542" t="s">
        <v>708</v>
      </c>
      <c r="R90" s="532"/>
    </row>
    <row r="91" spans="1:18" s="533" customFormat="1" x14ac:dyDescent="0.25">
      <c r="A91" s="540" t="s">
        <v>204</v>
      </c>
      <c r="B91" s="534" t="s">
        <v>639</v>
      </c>
      <c r="C91" s="542">
        <v>2</v>
      </c>
      <c r="D91" s="534"/>
      <c r="E91" s="535"/>
      <c r="F91" s="535"/>
      <c r="G91" s="535"/>
      <c r="H91" s="535"/>
      <c r="I91" s="535"/>
      <c r="J91" s="535" t="s">
        <v>694</v>
      </c>
      <c r="K91" s="535" t="s">
        <v>695</v>
      </c>
      <c r="L91" s="537">
        <f>2781*13*1.338*1.07*1.05</f>
        <v>54346.744179000008</v>
      </c>
      <c r="M91" s="541" t="s">
        <v>477</v>
      </c>
      <c r="N91" s="534"/>
      <c r="O91" s="535" t="s">
        <v>696</v>
      </c>
      <c r="P91" s="542">
        <v>1</v>
      </c>
      <c r="Q91" s="542" t="s">
        <v>708</v>
      </c>
      <c r="R91" s="532"/>
    </row>
    <row r="92" spans="1:18" s="533" customFormat="1" x14ac:dyDescent="0.25">
      <c r="A92" s="540" t="s">
        <v>204</v>
      </c>
      <c r="B92" s="528" t="s">
        <v>641</v>
      </c>
      <c r="C92" s="547">
        <v>4</v>
      </c>
      <c r="D92" s="530" t="s">
        <v>664</v>
      </c>
      <c r="E92" s="531"/>
      <c r="F92" s="531"/>
      <c r="G92" s="531"/>
      <c r="H92" s="531"/>
      <c r="I92" s="531"/>
      <c r="J92" s="535" t="s">
        <v>694</v>
      </c>
      <c r="K92" s="535" t="s">
        <v>695</v>
      </c>
      <c r="L92" s="537">
        <f t="shared" ref="L92:L93" si="9">13*4300*1.338*1.07*1.05</f>
        <v>84031.283700000029</v>
      </c>
      <c r="M92" s="529" t="s">
        <v>477</v>
      </c>
      <c r="N92" s="530"/>
      <c r="O92" s="535" t="s">
        <v>696</v>
      </c>
      <c r="P92" s="542">
        <v>1</v>
      </c>
      <c r="Q92" s="542" t="s">
        <v>708</v>
      </c>
      <c r="R92" s="532"/>
    </row>
    <row r="93" spans="1:18" s="533" customFormat="1" x14ac:dyDescent="0.25">
      <c r="A93" s="540" t="s">
        <v>204</v>
      </c>
      <c r="B93" s="528" t="s">
        <v>641</v>
      </c>
      <c r="C93" s="547">
        <v>4</v>
      </c>
      <c r="D93" s="530" t="s">
        <v>664</v>
      </c>
      <c r="E93" s="531"/>
      <c r="F93" s="531"/>
      <c r="G93" s="531"/>
      <c r="H93" s="531"/>
      <c r="I93" s="531"/>
      <c r="J93" s="535" t="s">
        <v>694</v>
      </c>
      <c r="K93" s="535" t="s">
        <v>695</v>
      </c>
      <c r="L93" s="537">
        <f t="shared" si="9"/>
        <v>84031.283700000029</v>
      </c>
      <c r="M93" s="529" t="s">
        <v>477</v>
      </c>
      <c r="N93" s="530"/>
      <c r="O93" s="535" t="s">
        <v>696</v>
      </c>
      <c r="P93" s="542">
        <v>1</v>
      </c>
      <c r="Q93" s="542" t="s">
        <v>708</v>
      </c>
      <c r="R93" s="532"/>
    </row>
    <row r="94" spans="1:18" s="533" customFormat="1" x14ac:dyDescent="0.25">
      <c r="A94" s="540" t="s">
        <v>204</v>
      </c>
      <c r="B94" s="545" t="s">
        <v>649</v>
      </c>
      <c r="C94" s="535">
        <v>2</v>
      </c>
      <c r="D94" s="534"/>
      <c r="E94" s="535"/>
      <c r="F94" s="535"/>
      <c r="G94" s="535"/>
      <c r="H94" s="535"/>
      <c r="I94" s="535"/>
      <c r="J94" s="535" t="s">
        <v>694</v>
      </c>
      <c r="K94" s="535" t="s">
        <v>695</v>
      </c>
      <c r="L94" s="537">
        <f>2750*13*1.338*1.07*1.05</f>
        <v>53740.937250000003</v>
      </c>
      <c r="M94" s="541" t="s">
        <v>477</v>
      </c>
      <c r="N94" s="534"/>
      <c r="O94" s="535" t="s">
        <v>696</v>
      </c>
      <c r="P94" s="542">
        <v>1</v>
      </c>
      <c r="Q94" s="542" t="s">
        <v>708</v>
      </c>
      <c r="R94" s="532"/>
    </row>
    <row r="95" spans="1:18" s="533" customFormat="1" x14ac:dyDescent="0.25">
      <c r="A95" s="540" t="s">
        <v>204</v>
      </c>
      <c r="B95" s="545" t="s">
        <v>649</v>
      </c>
      <c r="C95" s="535">
        <v>2</v>
      </c>
      <c r="D95" s="534"/>
      <c r="E95" s="535"/>
      <c r="F95" s="535"/>
      <c r="G95" s="535"/>
      <c r="H95" s="535"/>
      <c r="I95" s="535"/>
      <c r="J95" s="535" t="s">
        <v>694</v>
      </c>
      <c r="K95" s="535" t="s">
        <v>695</v>
      </c>
      <c r="L95" s="537">
        <f t="shared" ref="L95:L97" si="10">2750*13*1.338*1.07*1.05</f>
        <v>53740.937250000003</v>
      </c>
      <c r="M95" s="541" t="s">
        <v>477</v>
      </c>
      <c r="N95" s="534"/>
      <c r="O95" s="535" t="s">
        <v>696</v>
      </c>
      <c r="P95" s="542">
        <v>1</v>
      </c>
      <c r="Q95" s="542" t="s">
        <v>708</v>
      </c>
      <c r="R95" s="532"/>
    </row>
    <row r="96" spans="1:18" s="533" customFormat="1" x14ac:dyDescent="0.25">
      <c r="A96" s="540" t="s">
        <v>204</v>
      </c>
      <c r="B96" s="545" t="s">
        <v>649</v>
      </c>
      <c r="C96" s="535">
        <v>2</v>
      </c>
      <c r="D96" s="534"/>
      <c r="E96" s="535"/>
      <c r="F96" s="535"/>
      <c r="G96" s="535"/>
      <c r="H96" s="535"/>
      <c r="I96" s="535"/>
      <c r="J96" s="535" t="s">
        <v>694</v>
      </c>
      <c r="K96" s="535" t="s">
        <v>695</v>
      </c>
      <c r="L96" s="537">
        <f t="shared" si="10"/>
        <v>53740.937250000003</v>
      </c>
      <c r="M96" s="541" t="s">
        <v>477</v>
      </c>
      <c r="N96" s="534"/>
      <c r="O96" s="535" t="s">
        <v>696</v>
      </c>
      <c r="P96" s="542">
        <v>1</v>
      </c>
      <c r="Q96" s="542" t="s">
        <v>708</v>
      </c>
      <c r="R96" s="532"/>
    </row>
    <row r="97" spans="1:18" s="533" customFormat="1" x14ac:dyDescent="0.25">
      <c r="A97" s="540" t="s">
        <v>204</v>
      </c>
      <c r="B97" s="545" t="s">
        <v>649</v>
      </c>
      <c r="C97" s="535">
        <v>2</v>
      </c>
      <c r="D97" s="534"/>
      <c r="E97" s="535"/>
      <c r="F97" s="535"/>
      <c r="G97" s="535"/>
      <c r="H97" s="535"/>
      <c r="I97" s="535"/>
      <c r="J97" s="535" t="s">
        <v>694</v>
      </c>
      <c r="K97" s="535" t="s">
        <v>695</v>
      </c>
      <c r="L97" s="537">
        <f t="shared" si="10"/>
        <v>53740.937250000003</v>
      </c>
      <c r="M97" s="541" t="s">
        <v>477</v>
      </c>
      <c r="N97" s="534"/>
      <c r="O97" s="535" t="s">
        <v>696</v>
      </c>
      <c r="P97" s="542">
        <v>1</v>
      </c>
      <c r="Q97" s="542" t="s">
        <v>708</v>
      </c>
      <c r="R97" s="532"/>
    </row>
    <row r="98" spans="1:18" s="533" customFormat="1" x14ac:dyDescent="0.25">
      <c r="A98" s="540" t="s">
        <v>204</v>
      </c>
      <c r="B98" s="536" t="s">
        <v>641</v>
      </c>
      <c r="C98" s="542">
        <v>1</v>
      </c>
      <c r="D98" s="534"/>
      <c r="E98" s="535"/>
      <c r="F98" s="535"/>
      <c r="G98" s="535"/>
      <c r="H98" s="535"/>
      <c r="I98" s="535"/>
      <c r="J98" s="535" t="s">
        <v>694</v>
      </c>
      <c r="K98" s="535" t="s">
        <v>695</v>
      </c>
      <c r="L98" s="537">
        <f>2240*13*1.338*1.07*1.05</f>
        <v>43774.436160000012</v>
      </c>
      <c r="M98" s="541" t="s">
        <v>477</v>
      </c>
      <c r="N98" s="534"/>
      <c r="O98" s="535" t="s">
        <v>696</v>
      </c>
      <c r="P98" s="542">
        <v>1</v>
      </c>
      <c r="Q98" s="542" t="s">
        <v>708</v>
      </c>
      <c r="R98" s="532"/>
    </row>
    <row r="99" spans="1:18" s="533" customFormat="1" x14ac:dyDescent="0.25">
      <c r="A99" s="540" t="s">
        <v>204</v>
      </c>
      <c r="B99" s="536" t="s">
        <v>641</v>
      </c>
      <c r="C99" s="542">
        <v>1</v>
      </c>
      <c r="D99" s="534"/>
      <c r="E99" s="535"/>
      <c r="F99" s="535"/>
      <c r="G99" s="535"/>
      <c r="H99" s="535"/>
      <c r="I99" s="535"/>
      <c r="J99" s="535" t="s">
        <v>694</v>
      </c>
      <c r="K99" s="535" t="s">
        <v>695</v>
      </c>
      <c r="L99" s="537">
        <f>2240*13*1.338*1.07*1.05</f>
        <v>43774.436160000012</v>
      </c>
      <c r="M99" s="541" t="s">
        <v>477</v>
      </c>
      <c r="N99" s="534"/>
      <c r="O99" s="535" t="s">
        <v>696</v>
      </c>
      <c r="P99" s="542">
        <v>1</v>
      </c>
      <c r="Q99" s="542" t="s">
        <v>708</v>
      </c>
      <c r="R99" s="532"/>
    </row>
    <row r="100" spans="1:18" s="533" customFormat="1" x14ac:dyDescent="0.25">
      <c r="A100" s="540" t="s">
        <v>204</v>
      </c>
      <c r="B100" s="536" t="s">
        <v>641</v>
      </c>
      <c r="C100" s="542">
        <v>1</v>
      </c>
      <c r="D100" s="534"/>
      <c r="E100" s="535"/>
      <c r="F100" s="535"/>
      <c r="G100" s="535"/>
      <c r="H100" s="535"/>
      <c r="I100" s="535"/>
      <c r="J100" s="535" t="s">
        <v>694</v>
      </c>
      <c r="K100" s="535" t="s">
        <v>695</v>
      </c>
      <c r="L100" s="537">
        <f>2240*13*1.338*1.07*1.05</f>
        <v>43774.436160000012</v>
      </c>
      <c r="M100" s="541" t="s">
        <v>477</v>
      </c>
      <c r="N100" s="534"/>
      <c r="O100" s="535" t="s">
        <v>696</v>
      </c>
      <c r="P100" s="542">
        <v>1</v>
      </c>
      <c r="Q100" s="542" t="s">
        <v>708</v>
      </c>
      <c r="R100" s="532"/>
    </row>
    <row r="101" spans="1:18" s="533" customFormat="1" x14ac:dyDescent="0.25">
      <c r="A101" s="540" t="s">
        <v>204</v>
      </c>
      <c r="B101" s="534" t="s">
        <v>643</v>
      </c>
      <c r="C101" s="542">
        <v>2</v>
      </c>
      <c r="D101" s="534"/>
      <c r="E101" s="535"/>
      <c r="F101" s="535"/>
      <c r="G101" s="535"/>
      <c r="H101" s="535"/>
      <c r="I101" s="535"/>
      <c r="J101" s="535" t="s">
        <v>694</v>
      </c>
      <c r="K101" s="535" t="s">
        <v>695</v>
      </c>
      <c r="L101" s="537">
        <f>4147*13*1.338*1.07*1.05</f>
        <v>81041.333373000016</v>
      </c>
      <c r="M101" s="541" t="s">
        <v>477</v>
      </c>
      <c r="N101" s="534"/>
      <c r="O101" s="535" t="s">
        <v>696</v>
      </c>
      <c r="P101" s="542">
        <v>1</v>
      </c>
      <c r="Q101" s="542" t="s">
        <v>708</v>
      </c>
      <c r="R101" s="532"/>
    </row>
    <row r="102" spans="1:18" s="533" customFormat="1" x14ac:dyDescent="0.25">
      <c r="A102" s="540" t="s">
        <v>204</v>
      </c>
      <c r="B102" s="534" t="s">
        <v>643</v>
      </c>
      <c r="C102" s="542">
        <v>3</v>
      </c>
      <c r="D102" s="534"/>
      <c r="E102" s="535"/>
      <c r="F102" s="535" t="s">
        <v>572</v>
      </c>
      <c r="G102" s="535"/>
      <c r="H102" s="535"/>
      <c r="I102" s="535"/>
      <c r="J102" s="535" t="s">
        <v>477</v>
      </c>
      <c r="K102" s="535" t="s">
        <v>698</v>
      </c>
      <c r="L102" s="537">
        <f>4668*13*1.338*1.07*1.05</f>
        <v>91222.798212000023</v>
      </c>
      <c r="M102" s="541" t="s">
        <v>709</v>
      </c>
      <c r="N102" s="546">
        <v>120000</v>
      </c>
      <c r="O102" s="535" t="s">
        <v>696</v>
      </c>
      <c r="P102" s="543">
        <v>1</v>
      </c>
      <c r="Q102" s="542" t="s">
        <v>708</v>
      </c>
      <c r="R102" s="532"/>
    </row>
    <row r="103" spans="1:18" s="533" customFormat="1" x14ac:dyDescent="0.25">
      <c r="A103" s="540" t="s">
        <v>204</v>
      </c>
      <c r="B103" s="534" t="s">
        <v>643</v>
      </c>
      <c r="C103" s="542">
        <v>4</v>
      </c>
      <c r="D103" s="534"/>
      <c r="E103" s="535"/>
      <c r="F103" s="535"/>
      <c r="G103" s="535"/>
      <c r="H103" s="535"/>
      <c r="I103" s="535"/>
      <c r="J103" s="535" t="s">
        <v>694</v>
      </c>
      <c r="K103" s="535" t="s">
        <v>695</v>
      </c>
      <c r="L103" s="537">
        <f>7000*13*1.338</f>
        <v>121758</v>
      </c>
      <c r="M103" s="541" t="s">
        <v>477</v>
      </c>
      <c r="N103" s="534"/>
      <c r="O103" s="535" t="s">
        <v>696</v>
      </c>
      <c r="P103" s="543">
        <v>1</v>
      </c>
      <c r="Q103" s="542" t="s">
        <v>708</v>
      </c>
      <c r="R103" s="532"/>
    </row>
    <row r="104" spans="1:18" s="533" customFormat="1" x14ac:dyDescent="0.25">
      <c r="A104" s="540" t="s">
        <v>204</v>
      </c>
      <c r="B104" s="534" t="s">
        <v>637</v>
      </c>
      <c r="C104" s="542">
        <v>2</v>
      </c>
      <c r="D104" s="534"/>
      <c r="E104" s="535"/>
      <c r="F104" s="535"/>
      <c r="G104" s="535"/>
      <c r="H104" s="535"/>
      <c r="I104" s="535"/>
      <c r="J104" s="535" t="s">
        <v>694</v>
      </c>
      <c r="K104" s="535" t="s">
        <v>695</v>
      </c>
      <c r="L104" s="537">
        <f>2741*13*1.338*1.07*1.05</f>
        <v>53565.057819000009</v>
      </c>
      <c r="M104" s="541" t="s">
        <v>477</v>
      </c>
      <c r="N104" s="534"/>
      <c r="O104" s="535" t="s">
        <v>696</v>
      </c>
      <c r="P104" s="542">
        <v>1</v>
      </c>
      <c r="Q104" s="542" t="s">
        <v>708</v>
      </c>
      <c r="R104" s="532"/>
    </row>
    <row r="105" spans="1:18" s="533" customFormat="1" x14ac:dyDescent="0.25">
      <c r="A105" s="540" t="s">
        <v>204</v>
      </c>
      <c r="B105" s="534" t="s">
        <v>637</v>
      </c>
      <c r="C105" s="542">
        <v>2</v>
      </c>
      <c r="D105" s="534"/>
      <c r="E105" s="535"/>
      <c r="F105" s="535"/>
      <c r="G105" s="535"/>
      <c r="H105" s="535"/>
      <c r="I105" s="535"/>
      <c r="J105" s="535" t="s">
        <v>694</v>
      </c>
      <c r="K105" s="535" t="s">
        <v>695</v>
      </c>
      <c r="L105" s="537">
        <f t="shared" ref="L105:L113" si="11">2741*13*1.338*1.07*1.05</f>
        <v>53565.057819000009</v>
      </c>
      <c r="M105" s="541" t="s">
        <v>477</v>
      </c>
      <c r="N105" s="534"/>
      <c r="O105" s="535" t="s">
        <v>696</v>
      </c>
      <c r="P105" s="542">
        <v>1</v>
      </c>
      <c r="Q105" s="542" t="s">
        <v>708</v>
      </c>
      <c r="R105" s="532"/>
    </row>
    <row r="106" spans="1:18" s="533" customFormat="1" x14ac:dyDescent="0.25">
      <c r="A106" s="540" t="s">
        <v>204</v>
      </c>
      <c r="B106" s="534" t="s">
        <v>637</v>
      </c>
      <c r="C106" s="542">
        <v>2</v>
      </c>
      <c r="D106" s="534"/>
      <c r="E106" s="535"/>
      <c r="F106" s="535"/>
      <c r="G106" s="535"/>
      <c r="H106" s="535"/>
      <c r="I106" s="535"/>
      <c r="J106" s="535" t="s">
        <v>694</v>
      </c>
      <c r="K106" s="535" t="s">
        <v>695</v>
      </c>
      <c r="L106" s="537">
        <f t="shared" si="11"/>
        <v>53565.057819000009</v>
      </c>
      <c r="M106" s="541" t="s">
        <v>477</v>
      </c>
      <c r="N106" s="534"/>
      <c r="O106" s="535" t="s">
        <v>696</v>
      </c>
      <c r="P106" s="542">
        <v>1</v>
      </c>
      <c r="Q106" s="542" t="s">
        <v>708</v>
      </c>
      <c r="R106" s="532"/>
    </row>
    <row r="107" spans="1:18" s="533" customFormat="1" x14ac:dyDescent="0.25">
      <c r="A107" s="540" t="s">
        <v>204</v>
      </c>
      <c r="B107" s="534" t="s">
        <v>637</v>
      </c>
      <c r="C107" s="542">
        <v>2</v>
      </c>
      <c r="D107" s="534"/>
      <c r="E107" s="535"/>
      <c r="F107" s="535" t="s">
        <v>572</v>
      </c>
      <c r="G107" s="535"/>
      <c r="H107" s="535"/>
      <c r="I107" s="535"/>
      <c r="J107" s="535" t="s">
        <v>477</v>
      </c>
      <c r="K107" s="535" t="s">
        <v>698</v>
      </c>
      <c r="L107" s="537">
        <f t="shared" si="11"/>
        <v>53565.057819000009</v>
      </c>
      <c r="M107" s="541" t="s">
        <v>477</v>
      </c>
      <c r="N107" s="534"/>
      <c r="O107" s="535" t="s">
        <v>696</v>
      </c>
      <c r="P107" s="542">
        <v>1</v>
      </c>
      <c r="Q107" s="542" t="s">
        <v>708</v>
      </c>
      <c r="R107" s="532"/>
    </row>
    <row r="108" spans="1:18" s="533" customFormat="1" x14ac:dyDescent="0.25">
      <c r="A108" s="540" t="s">
        <v>244</v>
      </c>
      <c r="B108" s="534" t="s">
        <v>639</v>
      </c>
      <c r="C108" s="542">
        <v>2</v>
      </c>
      <c r="D108" s="534"/>
      <c r="E108" s="535"/>
      <c r="F108" s="535"/>
      <c r="G108" s="535"/>
      <c r="H108" s="535"/>
      <c r="I108" s="535"/>
      <c r="J108" s="535" t="s">
        <v>694</v>
      </c>
      <c r="K108" s="535" t="s">
        <v>695</v>
      </c>
      <c r="L108" s="537">
        <f>2781*13*1.338*1.07*1.05</f>
        <v>54346.744179000008</v>
      </c>
      <c r="M108" s="541" t="s">
        <v>477</v>
      </c>
      <c r="N108" s="534"/>
      <c r="O108" s="535" t="s">
        <v>696</v>
      </c>
      <c r="P108" s="542" t="s">
        <v>710</v>
      </c>
      <c r="Q108" s="542" t="s">
        <v>708</v>
      </c>
      <c r="R108" s="532"/>
    </row>
    <row r="109" spans="1:18" s="533" customFormat="1" x14ac:dyDescent="0.25">
      <c r="A109" s="540" t="s">
        <v>244</v>
      </c>
      <c r="B109" s="534" t="s">
        <v>643</v>
      </c>
      <c r="C109" s="542">
        <v>2</v>
      </c>
      <c r="D109" s="534"/>
      <c r="E109" s="535"/>
      <c r="F109" s="535"/>
      <c r="G109" s="535"/>
      <c r="H109" s="535"/>
      <c r="I109" s="535"/>
      <c r="J109" s="535" t="s">
        <v>694</v>
      </c>
      <c r="K109" s="535" t="s">
        <v>695</v>
      </c>
      <c r="L109" s="537">
        <f>4147*13*1.338*1.07*1.05</f>
        <v>81041.333373000016</v>
      </c>
      <c r="M109" s="541" t="s">
        <v>477</v>
      </c>
      <c r="N109" s="534"/>
      <c r="O109" s="535" t="s">
        <v>696</v>
      </c>
      <c r="P109" s="542" t="s">
        <v>710</v>
      </c>
      <c r="Q109" s="542" t="s">
        <v>708</v>
      </c>
      <c r="R109" s="532"/>
    </row>
    <row r="110" spans="1:18" s="533" customFormat="1" x14ac:dyDescent="0.25">
      <c r="A110" s="540" t="s">
        <v>244</v>
      </c>
      <c r="B110" s="536" t="s">
        <v>641</v>
      </c>
      <c r="C110" s="542">
        <v>1</v>
      </c>
      <c r="D110" s="534"/>
      <c r="E110" s="535"/>
      <c r="F110" s="535"/>
      <c r="G110" s="535"/>
      <c r="H110" s="535"/>
      <c r="I110" s="535"/>
      <c r="J110" s="535" t="s">
        <v>694</v>
      </c>
      <c r="K110" s="535" t="s">
        <v>695</v>
      </c>
      <c r="L110" s="537">
        <f t="shared" ref="L110" si="12">13*4300*1.338*1.07*1.05</f>
        <v>84031.283700000029</v>
      </c>
      <c r="M110" s="541" t="s">
        <v>477</v>
      </c>
      <c r="N110" s="534"/>
      <c r="O110" s="535" t="s">
        <v>696</v>
      </c>
      <c r="P110" s="542" t="s">
        <v>710</v>
      </c>
      <c r="Q110" s="542" t="s">
        <v>708</v>
      </c>
      <c r="R110" s="532"/>
    </row>
    <row r="111" spans="1:18" s="533" customFormat="1" x14ac:dyDescent="0.25">
      <c r="A111" s="540" t="s">
        <v>244</v>
      </c>
      <c r="B111" s="536" t="s">
        <v>711</v>
      </c>
      <c r="C111" s="542">
        <v>2</v>
      </c>
      <c r="D111" s="534"/>
      <c r="E111" s="535"/>
      <c r="F111" s="535"/>
      <c r="G111" s="535"/>
      <c r="H111" s="535"/>
      <c r="I111" s="535"/>
      <c r="J111" s="535" t="s">
        <v>694</v>
      </c>
      <c r="K111" s="535" t="s">
        <v>695</v>
      </c>
      <c r="L111" s="537">
        <f>2216*13*1.338*1.07*1.05</f>
        <v>43305.424343999999</v>
      </c>
      <c r="M111" s="541" t="s">
        <v>477</v>
      </c>
      <c r="N111" s="534"/>
      <c r="O111" s="535" t="s">
        <v>696</v>
      </c>
      <c r="P111" s="542" t="s">
        <v>710</v>
      </c>
      <c r="Q111" s="542" t="s">
        <v>708</v>
      </c>
      <c r="R111" s="532"/>
    </row>
    <row r="112" spans="1:18" s="533" customFormat="1" x14ac:dyDescent="0.25">
      <c r="A112" s="540" t="s">
        <v>244</v>
      </c>
      <c r="B112" s="534" t="s">
        <v>637</v>
      </c>
      <c r="C112" s="542">
        <v>2</v>
      </c>
      <c r="D112" s="534"/>
      <c r="E112" s="535"/>
      <c r="F112" s="535"/>
      <c r="G112" s="535"/>
      <c r="H112" s="535"/>
      <c r="I112" s="535"/>
      <c r="J112" s="535" t="s">
        <v>694</v>
      </c>
      <c r="K112" s="535" t="s">
        <v>695</v>
      </c>
      <c r="L112" s="537">
        <f t="shared" si="11"/>
        <v>53565.057819000009</v>
      </c>
      <c r="M112" s="541" t="s">
        <v>477</v>
      </c>
      <c r="N112" s="534"/>
      <c r="O112" s="535" t="s">
        <v>696</v>
      </c>
      <c r="P112" s="542" t="s">
        <v>710</v>
      </c>
      <c r="Q112" s="542" t="s">
        <v>708</v>
      </c>
      <c r="R112" s="532"/>
    </row>
    <row r="113" spans="1:17" x14ac:dyDescent="0.25">
      <c r="A113" s="540" t="s">
        <v>246</v>
      </c>
      <c r="B113" s="534" t="s">
        <v>637</v>
      </c>
      <c r="C113" s="542">
        <v>2</v>
      </c>
      <c r="D113" s="534"/>
      <c r="E113" s="535"/>
      <c r="F113" s="535"/>
      <c r="G113" s="535"/>
      <c r="H113" s="535"/>
      <c r="I113" s="535"/>
      <c r="J113" s="535" t="s">
        <v>694</v>
      </c>
      <c r="K113" s="535" t="s">
        <v>695</v>
      </c>
      <c r="L113" s="537">
        <f t="shared" si="11"/>
        <v>53565.057819000009</v>
      </c>
      <c r="M113" s="541" t="s">
        <v>477</v>
      </c>
      <c r="N113" s="534"/>
      <c r="O113" s="535" t="s">
        <v>696</v>
      </c>
      <c r="P113" s="542" t="s">
        <v>710</v>
      </c>
      <c r="Q113" s="542" t="s">
        <v>708</v>
      </c>
    </row>
    <row r="114" spans="1:17" x14ac:dyDescent="0.25">
      <c r="A114" s="540" t="s">
        <v>246</v>
      </c>
      <c r="B114" s="528" t="s">
        <v>641</v>
      </c>
      <c r="C114" s="547">
        <v>4</v>
      </c>
      <c r="D114" s="534"/>
      <c r="E114" s="535"/>
      <c r="F114" s="535"/>
      <c r="G114" s="535"/>
      <c r="H114" s="535"/>
      <c r="I114" s="535"/>
      <c r="J114" s="535" t="s">
        <v>694</v>
      </c>
      <c r="K114" s="535" t="s">
        <v>695</v>
      </c>
      <c r="L114" s="537">
        <f t="shared" ref="L114" si="13">2240*13*1.338*1.07*1.05</f>
        <v>43774.436160000012</v>
      </c>
      <c r="M114" s="541" t="s">
        <v>477</v>
      </c>
      <c r="N114" s="534"/>
      <c r="O114" s="535" t="s">
        <v>696</v>
      </c>
      <c r="P114" s="542" t="s">
        <v>710</v>
      </c>
      <c r="Q114" s="542" t="s">
        <v>708</v>
      </c>
    </row>
    <row r="115" spans="1:17" x14ac:dyDescent="0.25">
      <c r="A115" s="540" t="s">
        <v>248</v>
      </c>
      <c r="B115" s="534" t="s">
        <v>643</v>
      </c>
      <c r="C115" s="542">
        <v>2</v>
      </c>
      <c r="D115" s="534"/>
      <c r="E115" s="535"/>
      <c r="F115" s="535"/>
      <c r="G115" s="535"/>
      <c r="H115" s="535"/>
      <c r="I115" s="535"/>
      <c r="J115" s="535" t="s">
        <v>694</v>
      </c>
      <c r="K115" s="535" t="s">
        <v>695</v>
      </c>
      <c r="L115" s="537">
        <f>4147*13*1.338*1.07*1.05</f>
        <v>81041.333373000016</v>
      </c>
      <c r="M115" s="541" t="s">
        <v>477</v>
      </c>
      <c r="N115" s="534"/>
      <c r="O115" s="535" t="s">
        <v>696</v>
      </c>
      <c r="P115" s="542" t="s">
        <v>710</v>
      </c>
      <c r="Q115" s="542" t="s">
        <v>708</v>
      </c>
    </row>
    <row r="116" spans="1:17" x14ac:dyDescent="0.25">
      <c r="A116" s="540" t="s">
        <v>248</v>
      </c>
      <c r="B116" s="545" t="s">
        <v>649</v>
      </c>
      <c r="C116" s="535">
        <v>2</v>
      </c>
      <c r="D116" s="534"/>
      <c r="E116" s="535"/>
      <c r="F116" s="535"/>
      <c r="G116" s="535"/>
      <c r="H116" s="535"/>
      <c r="I116" s="535"/>
      <c r="J116" s="535" t="s">
        <v>694</v>
      </c>
      <c r="K116" s="535" t="s">
        <v>695</v>
      </c>
      <c r="L116" s="537">
        <f>2750*13*1.338*1.07*1.05</f>
        <v>53740.937250000003</v>
      </c>
      <c r="M116" s="541" t="s">
        <v>477</v>
      </c>
      <c r="N116" s="534"/>
      <c r="O116" s="535" t="s">
        <v>696</v>
      </c>
      <c r="P116" s="542" t="s">
        <v>710</v>
      </c>
      <c r="Q116" s="542" t="s">
        <v>708</v>
      </c>
    </row>
    <row r="117" spans="1:17" x14ac:dyDescent="0.25">
      <c r="A117" s="540" t="s">
        <v>248</v>
      </c>
      <c r="B117" s="534" t="s">
        <v>639</v>
      </c>
      <c r="C117" s="542">
        <v>2</v>
      </c>
      <c r="D117" s="534"/>
      <c r="E117" s="535"/>
      <c r="F117" s="535"/>
      <c r="G117" s="535"/>
      <c r="H117" s="535"/>
      <c r="I117" s="535"/>
      <c r="J117" s="535" t="s">
        <v>694</v>
      </c>
      <c r="K117" s="535" t="s">
        <v>695</v>
      </c>
      <c r="L117" s="537">
        <f>2781*13*1.338*1.07*1.05</f>
        <v>54346.744179000008</v>
      </c>
      <c r="M117" s="541" t="s">
        <v>477</v>
      </c>
      <c r="N117" s="534"/>
      <c r="O117" s="535" t="s">
        <v>696</v>
      </c>
      <c r="P117" s="542" t="s">
        <v>710</v>
      </c>
      <c r="Q117" s="542" t="s">
        <v>708</v>
      </c>
    </row>
    <row r="118" spans="1:17" x14ac:dyDescent="0.25">
      <c r="A118" s="540" t="s">
        <v>248</v>
      </c>
      <c r="B118" s="534" t="s">
        <v>643</v>
      </c>
      <c r="C118" s="542">
        <v>2</v>
      </c>
      <c r="D118" s="534"/>
      <c r="E118" s="535"/>
      <c r="F118" s="535"/>
      <c r="G118" s="535"/>
      <c r="H118" s="535"/>
      <c r="I118" s="535"/>
      <c r="J118" s="535" t="s">
        <v>694</v>
      </c>
      <c r="K118" s="535" t="s">
        <v>695</v>
      </c>
      <c r="L118" s="537">
        <f>4147*13*1.338*1.07*1.05</f>
        <v>81041.333373000016</v>
      </c>
      <c r="M118" s="541" t="s">
        <v>477</v>
      </c>
      <c r="N118" s="534"/>
      <c r="O118" s="535" t="s">
        <v>696</v>
      </c>
      <c r="P118" s="542" t="s">
        <v>710</v>
      </c>
      <c r="Q118" s="542" t="s">
        <v>708</v>
      </c>
    </row>
    <row r="119" spans="1:17" x14ac:dyDescent="0.25">
      <c r="A119" s="540" t="s">
        <v>248</v>
      </c>
      <c r="B119" s="536" t="s">
        <v>641</v>
      </c>
      <c r="C119" s="542">
        <v>1</v>
      </c>
      <c r="D119" s="534"/>
      <c r="E119" s="535"/>
      <c r="F119" s="535"/>
      <c r="G119" s="535"/>
      <c r="H119" s="535"/>
      <c r="I119" s="535"/>
      <c r="J119" s="535" t="s">
        <v>694</v>
      </c>
      <c r="K119" s="535" t="s">
        <v>695</v>
      </c>
      <c r="L119" s="537">
        <f t="shared" ref="L119:L120" si="14">2240*13*1.338*1.07*1.05</f>
        <v>43774.436160000012</v>
      </c>
      <c r="M119" s="541" t="s">
        <v>477</v>
      </c>
      <c r="N119" s="534"/>
      <c r="O119" s="535" t="s">
        <v>696</v>
      </c>
      <c r="P119" s="542" t="s">
        <v>710</v>
      </c>
      <c r="Q119" s="542" t="s">
        <v>708</v>
      </c>
    </row>
    <row r="120" spans="1:17" x14ac:dyDescent="0.25">
      <c r="A120" s="540" t="s">
        <v>250</v>
      </c>
      <c r="B120" s="536" t="s">
        <v>641</v>
      </c>
      <c r="C120" s="542">
        <v>1</v>
      </c>
      <c r="D120" s="534"/>
      <c r="E120" s="535"/>
      <c r="F120" s="535"/>
      <c r="G120" s="535"/>
      <c r="H120" s="535"/>
      <c r="I120" s="535"/>
      <c r="J120" s="535" t="s">
        <v>694</v>
      </c>
      <c r="K120" s="535" t="s">
        <v>695</v>
      </c>
      <c r="L120" s="537">
        <f t="shared" si="14"/>
        <v>43774.436160000012</v>
      </c>
      <c r="M120" s="541" t="s">
        <v>477</v>
      </c>
      <c r="N120" s="534"/>
      <c r="O120" s="535" t="s">
        <v>696</v>
      </c>
      <c r="P120" s="542" t="s">
        <v>710</v>
      </c>
      <c r="Q120" s="542" t="s">
        <v>708</v>
      </c>
    </row>
  </sheetData>
  <autoFilter ref="A5:T56" xr:uid="{8CC855B6-CE17-462D-ADE1-E22651B07E75}"/>
  <mergeCells count="28">
    <mergeCell ref="Q4:Q5"/>
    <mergeCell ref="E3:I3"/>
    <mergeCell ref="A4:A5"/>
    <mergeCell ref="B4:B5"/>
    <mergeCell ref="C4:C5"/>
    <mergeCell ref="D4:D5"/>
    <mergeCell ref="E4:I4"/>
    <mergeCell ref="P4:P5"/>
    <mergeCell ref="J4:J5"/>
    <mergeCell ref="K4:K5"/>
    <mergeCell ref="L4:L5"/>
    <mergeCell ref="M4:M5"/>
    <mergeCell ref="N4:N5"/>
    <mergeCell ref="O4:O5"/>
    <mergeCell ref="E86:I86"/>
    <mergeCell ref="A87:A88"/>
    <mergeCell ref="B87:B88"/>
    <mergeCell ref="C87:C88"/>
    <mergeCell ref="D87:D88"/>
    <mergeCell ref="E87:I87"/>
    <mergeCell ref="O87:O88"/>
    <mergeCell ref="P87:P88"/>
    <mergeCell ref="Q87:Q88"/>
    <mergeCell ref="J87:J88"/>
    <mergeCell ref="K87:K88"/>
    <mergeCell ref="L87:L88"/>
    <mergeCell ref="M87:M88"/>
    <mergeCell ref="N87:N88"/>
  </mergeCells>
  <dataValidations count="8">
    <dataValidation type="list" allowBlank="1" showInputMessage="1" showErrorMessage="1" sqref="C89:C120 C35 C47:C49 C53:C55 C22 C28" xr:uid="{A6A7D5D6-4507-41D9-9C77-CFE3A41105D9}">
      <formula1>$C$59:$C$62</formula1>
    </dataValidation>
    <dataValidation type="list" allowBlank="1" showInputMessage="1" showErrorMessage="1" sqref="D48:D49 D89:D120 D53:D55" xr:uid="{CF99B69F-90B9-4756-9791-23E5F8886712}">
      <formula1>$D$59:$D$83</formula1>
    </dataValidation>
    <dataValidation type="list" allowBlank="1" showInputMessage="1" showErrorMessage="1" sqref="B112:B118 B55 B89:B97 B101:B109" xr:uid="{67393DD0-9C2C-4BAA-AB6F-E7F769BB637F}">
      <formula1>$B$59:$B$69</formula1>
    </dataValidation>
    <dataValidation type="list" allowBlank="1" showInputMessage="1" showErrorMessage="1" sqref="C50:C52" xr:uid="{3B7554EF-208A-455D-95EA-729A2A48D2EC}">
      <formula1>$C$61:$C$64</formula1>
    </dataValidation>
    <dataValidation type="list" allowBlank="1" showInputMessage="1" showErrorMessage="1" sqref="D50:D52" xr:uid="{B738D4A0-6BA0-4A4F-8981-4CDEC0FAC705}">
      <formula1>$D$61:$D$83</formula1>
    </dataValidation>
    <dataValidation type="list" allowBlank="1" showInputMessage="1" showErrorMessage="1" sqref="C6:C21 C23:C27 C29:C34 C36:C46" xr:uid="{2C9C8FA4-7A32-4F75-839B-79BA820C4EC2}">
      <formula1>$C$24:$C$26</formula1>
    </dataValidation>
    <dataValidation type="list" allowBlank="1" showInputMessage="1" showErrorMessage="1" sqref="B53:B54 B50:B51 B6:B33 B35:B46" xr:uid="{A3E26C8C-153B-44E5-8C68-C0D36ED66437}">
      <formula1>$B$24:$B$31</formula1>
    </dataValidation>
    <dataValidation type="list" allowBlank="1" showInputMessage="1" showErrorMessage="1" sqref="D6:D46" xr:uid="{2306295E-8F32-4C62-9AD1-D00AD75AA99E}">
      <formula1>$D$24:$D$39</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9C79-0A7D-492E-B9F1-B16995D9626F}">
  <sheetPr codeName="Leht7"/>
  <dimension ref="A1:V71"/>
  <sheetViews>
    <sheetView topLeftCell="G13" workbookViewId="0">
      <selection activeCell="R18" sqref="R18"/>
    </sheetView>
  </sheetViews>
  <sheetFormatPr defaultColWidth="8.7109375" defaultRowHeight="15" x14ac:dyDescent="0.25"/>
  <cols>
    <col min="1" max="1" width="14.42578125" customWidth="1"/>
    <col min="2" max="2" width="30.5703125" customWidth="1"/>
    <col min="3" max="3" width="15.28515625" customWidth="1"/>
    <col min="4" max="4" width="16.28515625" customWidth="1"/>
    <col min="5" max="9" width="5.7109375" customWidth="1"/>
    <col min="10" max="10" width="12.28515625" customWidth="1"/>
    <col min="11" max="11" width="15.42578125" customWidth="1"/>
    <col min="12" max="12" width="16.5703125" customWidth="1"/>
    <col min="13" max="13" width="15.7109375" customWidth="1"/>
    <col min="14" max="14" width="22.28515625" customWidth="1"/>
    <col min="15" max="15" width="19.28515625" customWidth="1"/>
    <col min="16" max="16" width="12.28515625" customWidth="1"/>
    <col min="17" max="17" width="14.5703125" bestFit="1" customWidth="1"/>
    <col min="18" max="18" width="14.5703125" customWidth="1"/>
  </cols>
  <sheetData>
    <row r="1" spans="1:20" x14ac:dyDescent="0.25">
      <c r="A1" s="361" t="s">
        <v>712</v>
      </c>
    </row>
    <row r="2" spans="1:20" x14ac:dyDescent="0.25">
      <c r="A2" s="361"/>
    </row>
    <row r="3" spans="1:20" s="356" customFormat="1" ht="90" x14ac:dyDescent="0.25">
      <c r="A3" s="355" t="s">
        <v>668</v>
      </c>
      <c r="B3" s="355" t="s">
        <v>669</v>
      </c>
      <c r="C3" s="355" t="s">
        <v>669</v>
      </c>
      <c r="D3" s="355" t="s">
        <v>670</v>
      </c>
      <c r="E3" s="814" t="s">
        <v>671</v>
      </c>
      <c r="F3" s="815"/>
      <c r="G3" s="815"/>
      <c r="H3" s="815"/>
      <c r="I3" s="816"/>
      <c r="J3" s="355" t="s">
        <v>672</v>
      </c>
      <c r="K3" s="355" t="s">
        <v>673</v>
      </c>
      <c r="L3" s="355" t="s">
        <v>674</v>
      </c>
      <c r="M3" s="355" t="s">
        <v>675</v>
      </c>
      <c r="N3" s="355" t="s">
        <v>676</v>
      </c>
      <c r="O3" s="355" t="s">
        <v>677</v>
      </c>
      <c r="P3" s="355" t="s">
        <v>678</v>
      </c>
      <c r="Q3" s="477" t="s">
        <v>679</v>
      </c>
      <c r="R3" s="557" t="s">
        <v>680</v>
      </c>
    </row>
    <row r="4" spans="1:20" ht="34.35" customHeight="1" x14ac:dyDescent="0.25">
      <c r="A4" s="807" t="s">
        <v>681</v>
      </c>
      <c r="B4" s="807" t="s">
        <v>682</v>
      </c>
      <c r="C4" s="807" t="s">
        <v>683</v>
      </c>
      <c r="D4" s="807" t="s">
        <v>684</v>
      </c>
      <c r="E4" s="818" t="s">
        <v>685</v>
      </c>
      <c r="F4" s="815"/>
      <c r="G4" s="815"/>
      <c r="H4" s="815"/>
      <c r="I4" s="816"/>
      <c r="J4" s="807" t="s">
        <v>686</v>
      </c>
      <c r="K4" s="807" t="s">
        <v>687</v>
      </c>
      <c r="L4" s="811" t="s">
        <v>688</v>
      </c>
      <c r="M4" s="811" t="s">
        <v>689</v>
      </c>
      <c r="N4" s="811" t="s">
        <v>690</v>
      </c>
      <c r="O4" s="807" t="s">
        <v>691</v>
      </c>
      <c r="P4" s="807" t="s">
        <v>692</v>
      </c>
      <c r="Q4" s="809" t="s">
        <v>693</v>
      </c>
      <c r="R4" s="558"/>
      <c r="T4" s="560"/>
    </row>
    <row r="5" spans="1:20" ht="27.6" customHeight="1" x14ac:dyDescent="0.25">
      <c r="A5" s="817"/>
      <c r="B5" s="817"/>
      <c r="C5" s="817"/>
      <c r="D5" s="817"/>
      <c r="E5" s="357">
        <v>2023</v>
      </c>
      <c r="F5" s="357">
        <v>2024</v>
      </c>
      <c r="G5" s="357">
        <v>2025</v>
      </c>
      <c r="H5" s="357">
        <v>2026</v>
      </c>
      <c r="I5" s="357">
        <v>2027</v>
      </c>
      <c r="J5" s="817"/>
      <c r="K5" s="817"/>
      <c r="L5" s="812"/>
      <c r="M5" s="812"/>
      <c r="N5" s="812"/>
      <c r="O5" s="817"/>
      <c r="P5" s="817"/>
      <c r="Q5" s="810"/>
      <c r="R5" s="558"/>
      <c r="S5" s="560"/>
      <c r="T5" s="560"/>
    </row>
    <row r="6" spans="1:20" s="200" customFormat="1" x14ac:dyDescent="0.25">
      <c r="A6" s="561" t="s">
        <v>713</v>
      </c>
      <c r="B6" s="562" t="s">
        <v>622</v>
      </c>
      <c r="C6" s="563">
        <v>3</v>
      </c>
      <c r="D6" s="561"/>
      <c r="E6" s="563"/>
      <c r="F6" s="563"/>
      <c r="G6" s="563"/>
      <c r="H6" s="563"/>
      <c r="I6" s="563"/>
      <c r="J6" s="564" t="s">
        <v>694</v>
      </c>
      <c r="K6" s="565" t="s">
        <v>695</v>
      </c>
      <c r="L6" s="566">
        <v>85016</v>
      </c>
      <c r="M6" s="564" t="s">
        <v>477</v>
      </c>
      <c r="N6" s="567"/>
      <c r="O6" s="565" t="s">
        <v>696</v>
      </c>
      <c r="P6" s="568">
        <v>0.1</v>
      </c>
      <c r="Q6" s="569" t="s">
        <v>697</v>
      </c>
      <c r="R6" s="570">
        <f>L6*P6</f>
        <v>8501.6</v>
      </c>
      <c r="S6" s="35"/>
    </row>
    <row r="7" spans="1:20" s="200" customFormat="1" x14ac:dyDescent="0.25">
      <c r="A7" s="561" t="s">
        <v>713</v>
      </c>
      <c r="B7" s="562" t="s">
        <v>619</v>
      </c>
      <c r="C7" s="563">
        <v>3</v>
      </c>
      <c r="D7" s="561"/>
      <c r="E7" s="563"/>
      <c r="F7" s="563"/>
      <c r="G7" s="563"/>
      <c r="H7" s="563"/>
      <c r="I7" s="563"/>
      <c r="J7" s="564" t="s">
        <v>694</v>
      </c>
      <c r="K7" s="565" t="s">
        <v>695</v>
      </c>
      <c r="L7" s="566">
        <v>60637</v>
      </c>
      <c r="M7" s="564" t="s">
        <v>477</v>
      </c>
      <c r="N7" s="567"/>
      <c r="O7" s="565" t="s">
        <v>696</v>
      </c>
      <c r="P7" s="568">
        <v>0.5</v>
      </c>
      <c r="Q7" s="569" t="s">
        <v>697</v>
      </c>
      <c r="R7" s="570">
        <f t="shared" ref="R7:R10" si="0">L7*P7</f>
        <v>30318.5</v>
      </c>
      <c r="S7" s="35"/>
    </row>
    <row r="8" spans="1:20" s="200" customFormat="1" x14ac:dyDescent="0.25">
      <c r="A8" s="561" t="s">
        <v>713</v>
      </c>
      <c r="B8" s="562" t="s">
        <v>621</v>
      </c>
      <c r="C8" s="563">
        <v>4</v>
      </c>
      <c r="D8" s="561"/>
      <c r="E8" s="563"/>
      <c r="F8" s="563"/>
      <c r="G8" s="563"/>
      <c r="H8" s="563"/>
      <c r="I8" s="563"/>
      <c r="J8" s="564" t="s">
        <v>694</v>
      </c>
      <c r="K8" s="565" t="s">
        <v>695</v>
      </c>
      <c r="L8" s="566">
        <f>12*5358</f>
        <v>64296</v>
      </c>
      <c r="M8" s="564" t="s">
        <v>477</v>
      </c>
      <c r="N8" s="567"/>
      <c r="O8" s="565" t="s">
        <v>696</v>
      </c>
      <c r="P8" s="568">
        <v>0.2</v>
      </c>
      <c r="Q8" s="569" t="s">
        <v>697</v>
      </c>
      <c r="R8" s="570">
        <f t="shared" si="0"/>
        <v>12859.2</v>
      </c>
      <c r="S8" s="35"/>
    </row>
    <row r="9" spans="1:20" s="200" customFormat="1" x14ac:dyDescent="0.25">
      <c r="A9" s="561" t="s">
        <v>713</v>
      </c>
      <c r="B9" s="562" t="s">
        <v>620</v>
      </c>
      <c r="C9" s="563">
        <v>3</v>
      </c>
      <c r="D9" s="561"/>
      <c r="E9" s="563"/>
      <c r="F9" s="563"/>
      <c r="G9" s="563"/>
      <c r="H9" s="563"/>
      <c r="I9" s="563"/>
      <c r="J9" s="564" t="s">
        <v>694</v>
      </c>
      <c r="K9" s="565" t="s">
        <v>695</v>
      </c>
      <c r="L9" s="566">
        <v>60530</v>
      </c>
      <c r="M9" s="564" t="s">
        <v>477</v>
      </c>
      <c r="N9" s="567"/>
      <c r="O9" s="565" t="s">
        <v>696</v>
      </c>
      <c r="P9" s="568">
        <v>0.1</v>
      </c>
      <c r="Q9" s="569" t="s">
        <v>697</v>
      </c>
      <c r="R9" s="570">
        <f t="shared" si="0"/>
        <v>6053</v>
      </c>
      <c r="S9" s="35"/>
    </row>
    <row r="10" spans="1:20" s="200" customFormat="1" x14ac:dyDescent="0.25">
      <c r="A10" s="561" t="s">
        <v>713</v>
      </c>
      <c r="B10" s="562" t="s">
        <v>625</v>
      </c>
      <c r="C10" s="563">
        <v>3</v>
      </c>
      <c r="D10" s="561"/>
      <c r="E10" s="563"/>
      <c r="F10" s="563"/>
      <c r="G10" s="563"/>
      <c r="H10" s="563"/>
      <c r="I10" s="563"/>
      <c r="J10" s="564" t="s">
        <v>694</v>
      </c>
      <c r="K10" s="565" t="s">
        <v>695</v>
      </c>
      <c r="L10" s="566">
        <v>48975</v>
      </c>
      <c r="M10" s="564" t="s">
        <v>477</v>
      </c>
      <c r="N10" s="567"/>
      <c r="O10" s="565" t="s">
        <v>696</v>
      </c>
      <c r="P10" s="568">
        <v>0.17499999999999999</v>
      </c>
      <c r="Q10" s="569" t="s">
        <v>697</v>
      </c>
      <c r="R10" s="570">
        <f t="shared" si="0"/>
        <v>8570.625</v>
      </c>
      <c r="S10" s="592">
        <f>SUM(R6:R10)</f>
        <v>66302.925000000003</v>
      </c>
      <c r="T10" s="586">
        <f>'kuni 2025 detsember tegevuskava'!AE37</f>
        <v>62900</v>
      </c>
    </row>
    <row r="11" spans="1:20" s="200" customFormat="1" ht="45" x14ac:dyDescent="0.25">
      <c r="A11" s="561" t="s">
        <v>112</v>
      </c>
      <c r="B11" s="562" t="s">
        <v>622</v>
      </c>
      <c r="C11" s="563">
        <v>3</v>
      </c>
      <c r="D11" s="561"/>
      <c r="E11" s="563"/>
      <c r="F11" s="563"/>
      <c r="G11" s="563"/>
      <c r="H11" s="563"/>
      <c r="I11" s="563"/>
      <c r="J11" s="564" t="s">
        <v>694</v>
      </c>
      <c r="K11" s="565" t="s">
        <v>695</v>
      </c>
      <c r="L11" s="566">
        <v>85016</v>
      </c>
      <c r="M11" s="564" t="s">
        <v>477</v>
      </c>
      <c r="N11" s="567"/>
      <c r="O11" s="565" t="s">
        <v>696</v>
      </c>
      <c r="P11" s="568">
        <v>0.3</v>
      </c>
      <c r="Q11" s="569" t="s">
        <v>697</v>
      </c>
      <c r="R11" s="570">
        <f>L11*P11</f>
        <v>25504.799999999999</v>
      </c>
      <c r="S11" s="35"/>
    </row>
    <row r="12" spans="1:20" s="200" customFormat="1" ht="45" x14ac:dyDescent="0.25">
      <c r="A12" s="561" t="s">
        <v>112</v>
      </c>
      <c r="B12" s="562" t="s">
        <v>619</v>
      </c>
      <c r="C12" s="563">
        <v>3</v>
      </c>
      <c r="D12" s="561"/>
      <c r="E12" s="563"/>
      <c r="F12" s="563"/>
      <c r="G12" s="563"/>
      <c r="H12" s="563"/>
      <c r="I12" s="563"/>
      <c r="J12" s="564" t="s">
        <v>694</v>
      </c>
      <c r="K12" s="565" t="s">
        <v>695</v>
      </c>
      <c r="L12" s="566">
        <v>60637</v>
      </c>
      <c r="M12" s="564" t="s">
        <v>477</v>
      </c>
      <c r="N12" s="567"/>
      <c r="O12" s="565" t="s">
        <v>696</v>
      </c>
      <c r="P12" s="568">
        <v>0.5</v>
      </c>
      <c r="Q12" s="569" t="s">
        <v>697</v>
      </c>
      <c r="R12" s="570">
        <f t="shared" ref="R12:R17" si="1">L12*P12</f>
        <v>30318.5</v>
      </c>
      <c r="S12" s="35"/>
    </row>
    <row r="13" spans="1:20" s="200" customFormat="1" ht="45" x14ac:dyDescent="0.25">
      <c r="A13" s="561" t="s">
        <v>112</v>
      </c>
      <c r="B13" s="562" t="s">
        <v>621</v>
      </c>
      <c r="C13" s="563">
        <v>4</v>
      </c>
      <c r="D13" s="561"/>
      <c r="E13" s="563"/>
      <c r="F13" s="563"/>
      <c r="G13" s="563"/>
      <c r="H13" s="563"/>
      <c r="I13" s="563"/>
      <c r="J13" s="564" t="s">
        <v>694</v>
      </c>
      <c r="K13" s="565" t="s">
        <v>695</v>
      </c>
      <c r="L13" s="566">
        <f>12*5358</f>
        <v>64296</v>
      </c>
      <c r="M13" s="564" t="s">
        <v>477</v>
      </c>
      <c r="N13" s="567"/>
      <c r="O13" s="565" t="s">
        <v>696</v>
      </c>
      <c r="P13" s="568">
        <v>0.25</v>
      </c>
      <c r="Q13" s="569" t="s">
        <v>697</v>
      </c>
      <c r="R13" s="570">
        <f t="shared" si="1"/>
        <v>16074</v>
      </c>
      <c r="S13" s="35"/>
    </row>
    <row r="14" spans="1:20" s="200" customFormat="1" ht="45" x14ac:dyDescent="0.25">
      <c r="A14" s="561" t="s">
        <v>112</v>
      </c>
      <c r="B14" s="562" t="s">
        <v>624</v>
      </c>
      <c r="C14" s="563">
        <v>3</v>
      </c>
      <c r="D14" s="561"/>
      <c r="E14" s="563"/>
      <c r="F14" s="563"/>
      <c r="G14" s="563"/>
      <c r="H14" s="563"/>
      <c r="I14" s="563"/>
      <c r="J14" s="564" t="s">
        <v>694</v>
      </c>
      <c r="K14" s="565" t="s">
        <v>695</v>
      </c>
      <c r="L14" s="566">
        <v>46834</v>
      </c>
      <c r="M14" s="564" t="s">
        <v>477</v>
      </c>
      <c r="N14" s="567"/>
      <c r="O14" s="565" t="s">
        <v>696</v>
      </c>
      <c r="P14" s="568">
        <v>0.3</v>
      </c>
      <c r="Q14" s="569" t="s">
        <v>697</v>
      </c>
      <c r="R14" s="570">
        <f t="shared" si="1"/>
        <v>14050.199999999999</v>
      </c>
      <c r="S14" s="35"/>
    </row>
    <row r="15" spans="1:20" s="200" customFormat="1" ht="45" x14ac:dyDescent="0.25">
      <c r="A15" s="561" t="s">
        <v>112</v>
      </c>
      <c r="B15" s="562" t="s">
        <v>620</v>
      </c>
      <c r="C15" s="563">
        <v>3</v>
      </c>
      <c r="D15" s="561"/>
      <c r="E15" s="563"/>
      <c r="F15" s="563"/>
      <c r="G15" s="563"/>
      <c r="H15" s="563"/>
      <c r="I15" s="563"/>
      <c r="J15" s="564" t="s">
        <v>694</v>
      </c>
      <c r="K15" s="565" t="s">
        <v>695</v>
      </c>
      <c r="L15" s="566">
        <v>60530</v>
      </c>
      <c r="M15" s="564" t="s">
        <v>477</v>
      </c>
      <c r="N15" s="567"/>
      <c r="O15" s="565" t="s">
        <v>696</v>
      </c>
      <c r="P15" s="568">
        <v>0.2</v>
      </c>
      <c r="Q15" s="569" t="s">
        <v>697</v>
      </c>
      <c r="R15" s="570">
        <f t="shared" si="1"/>
        <v>12106</v>
      </c>
      <c r="S15" s="35"/>
      <c r="T15" s="586">
        <f>T16-S16</f>
        <v>-9246</v>
      </c>
    </row>
    <row r="16" spans="1:20" s="200" customFormat="1" ht="45" x14ac:dyDescent="0.25">
      <c r="A16" s="561" t="s">
        <v>112</v>
      </c>
      <c r="B16" s="562" t="s">
        <v>625</v>
      </c>
      <c r="C16" s="563">
        <v>3</v>
      </c>
      <c r="D16" s="561"/>
      <c r="E16" s="563"/>
      <c r="F16" s="563"/>
      <c r="G16" s="563"/>
      <c r="H16" s="563"/>
      <c r="I16" s="563"/>
      <c r="J16" s="564" t="s">
        <v>694</v>
      </c>
      <c r="K16" s="565" t="s">
        <v>695</v>
      </c>
      <c r="L16" s="566">
        <v>48975</v>
      </c>
      <c r="M16" s="564" t="s">
        <v>477</v>
      </c>
      <c r="N16" s="567"/>
      <c r="O16" s="565" t="s">
        <v>696</v>
      </c>
      <c r="P16" s="568">
        <v>0.3</v>
      </c>
      <c r="Q16" s="569" t="s">
        <v>697</v>
      </c>
      <c r="R16" s="570">
        <f t="shared" si="1"/>
        <v>14692.5</v>
      </c>
      <c r="S16" s="592">
        <f>SUM(R11:R16)</f>
        <v>112746</v>
      </c>
      <c r="T16" s="586">
        <f>'kuni 2025 detsember tegevuskava'!AE36</f>
        <v>103500</v>
      </c>
    </row>
    <row r="17" spans="1:22" s="200" customFormat="1" x14ac:dyDescent="0.25">
      <c r="A17" s="561" t="s">
        <v>129</v>
      </c>
      <c r="B17" s="562" t="s">
        <v>700</v>
      </c>
      <c r="C17" s="563">
        <v>3</v>
      </c>
      <c r="D17" s="561" t="s">
        <v>129</v>
      </c>
      <c r="E17" s="563"/>
      <c r="F17" s="563"/>
      <c r="G17" s="563"/>
      <c r="H17" s="563"/>
      <c r="I17" s="563"/>
      <c r="J17" s="564" t="s">
        <v>694</v>
      </c>
      <c r="K17" s="565" t="s">
        <v>695</v>
      </c>
      <c r="L17" s="566">
        <v>82795</v>
      </c>
      <c r="M17" s="564" t="s">
        <v>477</v>
      </c>
      <c r="N17" s="567"/>
      <c r="O17" s="565" t="s">
        <v>696</v>
      </c>
      <c r="P17" s="568">
        <v>0.5</v>
      </c>
      <c r="Q17" s="569" t="s">
        <v>697</v>
      </c>
      <c r="R17" s="570">
        <f t="shared" si="1"/>
        <v>41397.5</v>
      </c>
      <c r="S17" s="35"/>
    </row>
    <row r="18" spans="1:22" s="1" customFormat="1" x14ac:dyDescent="0.25">
      <c r="A18" s="551"/>
      <c r="B18" s="552"/>
      <c r="C18" s="553"/>
      <c r="D18" s="551"/>
      <c r="E18" s="553"/>
      <c r="F18" s="553"/>
      <c r="G18" s="553"/>
      <c r="H18" s="553"/>
      <c r="I18" s="553"/>
      <c r="J18" s="553"/>
      <c r="K18" s="553"/>
      <c r="L18" s="554"/>
      <c r="M18" s="553"/>
      <c r="N18" s="555"/>
      <c r="O18" s="553"/>
      <c r="P18" s="553"/>
      <c r="Q18" s="553"/>
      <c r="R18" s="559">
        <f>SUM(R6:R17)</f>
        <v>220446.42500000002</v>
      </c>
      <c r="S18" s="532"/>
      <c r="T18" s="533"/>
      <c r="U18" s="533"/>
      <c r="V18" s="533"/>
    </row>
    <row r="19" spans="1:22" s="1" customFormat="1" x14ac:dyDescent="0.25">
      <c r="A19" s="551"/>
      <c r="B19" s="552"/>
      <c r="C19" s="553"/>
      <c r="D19" s="551"/>
      <c r="E19" s="553"/>
      <c r="F19" s="553"/>
      <c r="G19" s="553"/>
      <c r="H19" s="553"/>
      <c r="I19" s="553"/>
      <c r="J19" s="553"/>
      <c r="K19" s="553"/>
      <c r="L19" s="554"/>
      <c r="M19" s="553"/>
      <c r="N19" s="555"/>
      <c r="O19" s="553"/>
      <c r="P19" s="553"/>
      <c r="Q19" s="553"/>
      <c r="R19" s="553"/>
      <c r="S19" s="532"/>
      <c r="T19" s="533"/>
      <c r="U19" s="533"/>
      <c r="V19" s="533"/>
    </row>
    <row r="21" spans="1:22" s="1" customFormat="1" hidden="1" x14ac:dyDescent="0.25">
      <c r="Q21" s="478"/>
      <c r="R21" s="478"/>
    </row>
    <row r="22" spans="1:22" hidden="1" x14ac:dyDescent="0.25">
      <c r="Q22" s="478"/>
      <c r="R22" s="478"/>
    </row>
    <row r="23" spans="1:22" hidden="1" x14ac:dyDescent="0.25">
      <c r="B23" s="360" t="s">
        <v>629</v>
      </c>
      <c r="C23">
        <v>1</v>
      </c>
      <c r="D23" t="s">
        <v>630</v>
      </c>
      <c r="J23" t="s">
        <v>694</v>
      </c>
      <c r="K23" t="s">
        <v>698</v>
      </c>
      <c r="M23" t="s">
        <v>477</v>
      </c>
      <c r="O23" t="s">
        <v>696</v>
      </c>
      <c r="Q23" s="478"/>
      <c r="R23" s="478"/>
    </row>
    <row r="24" spans="1:22" hidden="1" x14ac:dyDescent="0.25">
      <c r="B24" s="360" t="s">
        <v>631</v>
      </c>
      <c r="C24">
        <v>2</v>
      </c>
      <c r="D24" t="s">
        <v>632</v>
      </c>
      <c r="J24" t="s">
        <v>477</v>
      </c>
      <c r="Q24" s="478"/>
      <c r="R24" s="478"/>
    </row>
    <row r="25" spans="1:22" hidden="1" x14ac:dyDescent="0.25">
      <c r="B25" s="360" t="s">
        <v>633</v>
      </c>
      <c r="C25">
        <v>3</v>
      </c>
      <c r="D25" t="s">
        <v>634</v>
      </c>
      <c r="Q25" s="478"/>
      <c r="R25" s="478"/>
    </row>
    <row r="26" spans="1:22" hidden="1" x14ac:dyDescent="0.25">
      <c r="B26" s="360" t="s">
        <v>635</v>
      </c>
      <c r="C26">
        <v>4</v>
      </c>
      <c r="D26" t="s">
        <v>636</v>
      </c>
      <c r="Q26" s="478"/>
      <c r="R26" s="478"/>
    </row>
    <row r="27" spans="1:22" hidden="1" x14ac:dyDescent="0.25">
      <c r="B27" s="360" t="s">
        <v>637</v>
      </c>
      <c r="D27" t="s">
        <v>638</v>
      </c>
      <c r="Q27" s="478"/>
      <c r="R27" s="478"/>
    </row>
    <row r="28" spans="1:22" hidden="1" x14ac:dyDescent="0.25">
      <c r="B28" s="360" t="s">
        <v>639</v>
      </c>
      <c r="D28" t="s">
        <v>640</v>
      </c>
      <c r="Q28" s="478"/>
      <c r="R28" s="478"/>
    </row>
    <row r="29" spans="1:22" hidden="1" x14ac:dyDescent="0.25">
      <c r="B29" s="360" t="s">
        <v>641</v>
      </c>
      <c r="D29" t="s">
        <v>642</v>
      </c>
      <c r="Q29" s="478"/>
      <c r="R29" s="478"/>
    </row>
    <row r="30" spans="1:22" hidden="1" x14ac:dyDescent="0.25">
      <c r="B30" s="360" t="s">
        <v>643</v>
      </c>
      <c r="D30" t="s">
        <v>644</v>
      </c>
      <c r="J30" t="s">
        <v>129</v>
      </c>
      <c r="Q30" s="478"/>
      <c r="R30" s="478"/>
    </row>
    <row r="31" spans="1:22" hidden="1" x14ac:dyDescent="0.25">
      <c r="B31" s="360" t="s">
        <v>645</v>
      </c>
      <c r="D31" t="s">
        <v>646</v>
      </c>
      <c r="Q31" s="478"/>
      <c r="R31" s="478"/>
    </row>
    <row r="32" spans="1:22" hidden="1" x14ac:dyDescent="0.25">
      <c r="B32" s="360" t="s">
        <v>647</v>
      </c>
      <c r="D32" t="s">
        <v>648</v>
      </c>
      <c r="Q32" s="478"/>
      <c r="R32" s="478"/>
    </row>
    <row r="33" spans="2:18" hidden="1" x14ac:dyDescent="0.25">
      <c r="B33" s="360" t="s">
        <v>649</v>
      </c>
      <c r="D33" t="s">
        <v>650</v>
      </c>
      <c r="Q33" s="478"/>
      <c r="R33" s="478"/>
    </row>
    <row r="34" spans="2:18" hidden="1" x14ac:dyDescent="0.25">
      <c r="B34" s="19"/>
      <c r="D34" t="s">
        <v>651</v>
      </c>
      <c r="Q34" s="478"/>
      <c r="R34" s="478"/>
    </row>
    <row r="35" spans="2:18" hidden="1" x14ac:dyDescent="0.25">
      <c r="B35" s="19"/>
      <c r="D35" t="s">
        <v>652</v>
      </c>
      <c r="Q35" s="478"/>
      <c r="R35" s="478"/>
    </row>
    <row r="36" spans="2:18" hidden="1" x14ac:dyDescent="0.25">
      <c r="D36" t="s">
        <v>653</v>
      </c>
      <c r="Q36" s="478"/>
      <c r="R36" s="478"/>
    </row>
    <row r="37" spans="2:18" hidden="1" x14ac:dyDescent="0.25">
      <c r="D37" t="s">
        <v>654</v>
      </c>
      <c r="Q37" s="478"/>
      <c r="R37" s="478"/>
    </row>
    <row r="38" spans="2:18" hidden="1" x14ac:dyDescent="0.25">
      <c r="D38" t="s">
        <v>655</v>
      </c>
      <c r="Q38" s="478"/>
      <c r="R38" s="478"/>
    </row>
    <row r="39" spans="2:18" hidden="1" x14ac:dyDescent="0.25">
      <c r="D39" t="s">
        <v>656</v>
      </c>
      <c r="Q39" s="478"/>
      <c r="R39" s="478"/>
    </row>
    <row r="40" spans="2:18" hidden="1" x14ac:dyDescent="0.25">
      <c r="D40" t="s">
        <v>657</v>
      </c>
      <c r="Q40" s="478"/>
      <c r="R40" s="478"/>
    </row>
    <row r="41" spans="2:18" hidden="1" x14ac:dyDescent="0.25">
      <c r="D41" t="s">
        <v>658</v>
      </c>
      <c r="Q41" s="478"/>
      <c r="R41" s="478"/>
    </row>
    <row r="42" spans="2:18" hidden="1" x14ac:dyDescent="0.25">
      <c r="D42" t="s">
        <v>659</v>
      </c>
      <c r="Q42" s="478"/>
      <c r="R42" s="478"/>
    </row>
    <row r="43" spans="2:18" hidden="1" x14ac:dyDescent="0.25">
      <c r="D43" t="s">
        <v>660</v>
      </c>
      <c r="Q43" s="478"/>
      <c r="R43" s="478"/>
    </row>
    <row r="44" spans="2:18" hidden="1" x14ac:dyDescent="0.25">
      <c r="D44" t="s">
        <v>661</v>
      </c>
    </row>
    <row r="45" spans="2:18" hidden="1" x14ac:dyDescent="0.25">
      <c r="D45" t="s">
        <v>662</v>
      </c>
    </row>
    <row r="46" spans="2:18" hidden="1" x14ac:dyDescent="0.25">
      <c r="D46" t="s">
        <v>663</v>
      </c>
    </row>
    <row r="47" spans="2:18" hidden="1" x14ac:dyDescent="0.25">
      <c r="D47" t="s">
        <v>664</v>
      </c>
    </row>
    <row r="48" spans="2:18" hidden="1" x14ac:dyDescent="0.25"/>
    <row r="49" spans="1:20" hidden="1" x14ac:dyDescent="0.25"/>
    <row r="50" spans="1:20" hidden="1" x14ac:dyDescent="0.25"/>
    <row r="51" spans="1:20" hidden="1" x14ac:dyDescent="0.25"/>
    <row r="52" spans="1:20" hidden="1" x14ac:dyDescent="0.25">
      <c r="D52" t="s">
        <v>711</v>
      </c>
    </row>
    <row r="53" spans="1:20" x14ac:dyDescent="0.25">
      <c r="A53" t="s">
        <v>714</v>
      </c>
    </row>
    <row r="54" spans="1:20" s="356" customFormat="1" ht="90" x14ac:dyDescent="0.25">
      <c r="A54" s="355" t="s">
        <v>668</v>
      </c>
      <c r="B54" s="355" t="s">
        <v>669</v>
      </c>
      <c r="C54" s="355" t="s">
        <v>669</v>
      </c>
      <c r="D54" s="355" t="s">
        <v>670</v>
      </c>
      <c r="E54" s="814" t="s">
        <v>671</v>
      </c>
      <c r="F54" s="815"/>
      <c r="G54" s="815"/>
      <c r="H54" s="815"/>
      <c r="I54" s="816"/>
      <c r="J54" s="355" t="s">
        <v>672</v>
      </c>
      <c r="K54" s="355" t="s">
        <v>673</v>
      </c>
      <c r="L54" s="355" t="s">
        <v>674</v>
      </c>
      <c r="M54" s="355" t="s">
        <v>675</v>
      </c>
      <c r="N54" s="355" t="s">
        <v>676</v>
      </c>
      <c r="O54" s="355" t="s">
        <v>677</v>
      </c>
      <c r="P54" s="355" t="s">
        <v>678</v>
      </c>
      <c r="Q54" s="477" t="s">
        <v>679</v>
      </c>
      <c r="R54" s="557"/>
    </row>
    <row r="55" spans="1:20" ht="34.35" customHeight="1" x14ac:dyDescent="0.25">
      <c r="A55" s="807" t="s">
        <v>681</v>
      </c>
      <c r="B55" s="807" t="s">
        <v>682</v>
      </c>
      <c r="C55" s="807" t="s">
        <v>683</v>
      </c>
      <c r="D55" s="807" t="s">
        <v>684</v>
      </c>
      <c r="E55" s="818" t="s">
        <v>685</v>
      </c>
      <c r="F55" s="815"/>
      <c r="G55" s="815"/>
      <c r="H55" s="815"/>
      <c r="I55" s="816"/>
      <c r="J55" s="807" t="s">
        <v>686</v>
      </c>
      <c r="K55" s="807" t="s">
        <v>687</v>
      </c>
      <c r="L55" s="811" t="s">
        <v>688</v>
      </c>
      <c r="M55" s="811" t="s">
        <v>689</v>
      </c>
      <c r="N55" s="811" t="s">
        <v>690</v>
      </c>
      <c r="O55" s="807" t="s">
        <v>691</v>
      </c>
      <c r="P55" s="807" t="s">
        <v>692</v>
      </c>
      <c r="Q55" s="809" t="s">
        <v>693</v>
      </c>
      <c r="R55" s="558"/>
    </row>
    <row r="56" spans="1:20" ht="27.6" customHeight="1" x14ac:dyDescent="0.25">
      <c r="A56" s="817"/>
      <c r="B56" s="817"/>
      <c r="C56" s="817"/>
      <c r="D56" s="817"/>
      <c r="E56" s="357">
        <v>2023</v>
      </c>
      <c r="F56" s="357">
        <v>2024</v>
      </c>
      <c r="G56" s="357">
        <v>2025</v>
      </c>
      <c r="H56" s="357">
        <v>2026</v>
      </c>
      <c r="I56" s="357">
        <v>2027</v>
      </c>
      <c r="J56" s="817"/>
      <c r="K56" s="817"/>
      <c r="L56" s="812"/>
      <c r="M56" s="812"/>
      <c r="N56" s="812"/>
      <c r="O56" s="817"/>
      <c r="P56" s="817"/>
      <c r="Q56" s="810"/>
      <c r="R56" s="558"/>
    </row>
    <row r="57" spans="1:20" s="1" customFormat="1" x14ac:dyDescent="0.25">
      <c r="A57" s="538" t="s">
        <v>715</v>
      </c>
      <c r="B57" s="534" t="s">
        <v>639</v>
      </c>
      <c r="C57" s="535">
        <v>2</v>
      </c>
      <c r="D57" s="534"/>
      <c r="E57" s="535"/>
      <c r="F57" s="535" t="s">
        <v>572</v>
      </c>
      <c r="G57" s="535"/>
      <c r="H57" s="535"/>
      <c r="I57" s="535"/>
      <c r="J57" s="535" t="s">
        <v>477</v>
      </c>
      <c r="K57" s="535" t="s">
        <v>698</v>
      </c>
      <c r="L57" s="537">
        <f>2781*13*1.338*1.07*1.05</f>
        <v>54346.744179000008</v>
      </c>
      <c r="M57" s="535" t="s">
        <v>477</v>
      </c>
      <c r="N57" s="546"/>
      <c r="O57" s="535" t="s">
        <v>696</v>
      </c>
      <c r="P57" s="535">
        <v>1</v>
      </c>
      <c r="Q57" s="535" t="s">
        <v>716</v>
      </c>
      <c r="R57" s="553"/>
      <c r="S57" s="532" t="s">
        <v>717</v>
      </c>
    </row>
    <row r="58" spans="1:20" s="1" customFormat="1" x14ac:dyDescent="0.25">
      <c r="A58" s="538" t="s">
        <v>715</v>
      </c>
      <c r="B58" s="534" t="s">
        <v>637</v>
      </c>
      <c r="C58" s="535">
        <v>2</v>
      </c>
      <c r="D58" s="534"/>
      <c r="E58" s="535"/>
      <c r="F58" s="535" t="s">
        <v>572</v>
      </c>
      <c r="G58" s="535"/>
      <c r="H58" s="535"/>
      <c r="I58" s="535"/>
      <c r="J58" s="535" t="s">
        <v>477</v>
      </c>
      <c r="K58" s="535" t="s">
        <v>698</v>
      </c>
      <c r="L58" s="537">
        <f>2741*13*1.338*1.07*1.05</f>
        <v>53565.057819000009</v>
      </c>
      <c r="M58" s="535" t="s">
        <v>477</v>
      </c>
      <c r="N58" s="546"/>
      <c r="O58" s="535" t="s">
        <v>696</v>
      </c>
      <c r="P58" s="535">
        <v>1</v>
      </c>
      <c r="Q58" s="535" t="s">
        <v>716</v>
      </c>
      <c r="R58" s="553"/>
      <c r="S58" s="532" t="s">
        <v>718</v>
      </c>
      <c r="T58" s="533"/>
    </row>
    <row r="59" spans="1:20" s="1" customFormat="1" x14ac:dyDescent="0.25">
      <c r="A59" s="538" t="s">
        <v>715</v>
      </c>
      <c r="B59" s="534" t="s">
        <v>643</v>
      </c>
      <c r="C59" s="535">
        <v>3</v>
      </c>
      <c r="D59" s="534"/>
      <c r="E59" s="535"/>
      <c r="F59" s="535"/>
      <c r="G59" s="535"/>
      <c r="H59" s="535"/>
      <c r="I59" s="535"/>
      <c r="J59" s="535" t="s">
        <v>694</v>
      </c>
      <c r="K59" s="535" t="s">
        <v>695</v>
      </c>
      <c r="L59" s="537">
        <f>4668*13*1.338*1.07*1.05</f>
        <v>91222.798212000023</v>
      </c>
      <c r="M59" s="535" t="s">
        <v>477</v>
      </c>
      <c r="N59" s="548"/>
      <c r="O59" s="535" t="s">
        <v>696</v>
      </c>
      <c r="P59" s="535">
        <v>1</v>
      </c>
      <c r="Q59" s="535" t="s">
        <v>716</v>
      </c>
      <c r="R59" s="553"/>
      <c r="S59" s="532" t="s">
        <v>719</v>
      </c>
      <c r="T59" s="533"/>
    </row>
    <row r="60" spans="1:20" s="1" customFormat="1" x14ac:dyDescent="0.25">
      <c r="A60" s="538" t="s">
        <v>715</v>
      </c>
      <c r="B60" s="534" t="s">
        <v>643</v>
      </c>
      <c r="C60" s="535">
        <v>3</v>
      </c>
      <c r="D60" s="534"/>
      <c r="E60" s="535"/>
      <c r="F60" s="535" t="s">
        <v>572</v>
      </c>
      <c r="G60" s="535"/>
      <c r="H60" s="535"/>
      <c r="I60" s="535"/>
      <c r="J60" s="535" t="s">
        <v>477</v>
      </c>
      <c r="K60" s="535" t="s">
        <v>698</v>
      </c>
      <c r="L60" s="537">
        <f>4668*13*1.338*1.07*1.05</f>
        <v>91222.798212000023</v>
      </c>
      <c r="M60" s="535" t="s">
        <v>720</v>
      </c>
      <c r="N60" s="548">
        <v>120000</v>
      </c>
      <c r="O60" s="535" t="s">
        <v>696</v>
      </c>
      <c r="P60" s="535">
        <v>1</v>
      </c>
      <c r="Q60" s="535" t="s">
        <v>716</v>
      </c>
      <c r="R60" s="553"/>
      <c r="S60" s="532" t="s">
        <v>719</v>
      </c>
      <c r="T60" s="533"/>
    </row>
    <row r="61" spans="1:20" s="1" customFormat="1" x14ac:dyDescent="0.25">
      <c r="A61" s="538" t="s">
        <v>715</v>
      </c>
      <c r="B61" s="534" t="s">
        <v>637</v>
      </c>
      <c r="C61" s="535">
        <v>2</v>
      </c>
      <c r="D61" s="534"/>
      <c r="E61" s="535"/>
      <c r="F61" s="535"/>
      <c r="G61" s="535"/>
      <c r="H61" s="535"/>
      <c r="I61" s="535"/>
      <c r="J61" s="535" t="s">
        <v>694</v>
      </c>
      <c r="K61" s="535" t="s">
        <v>695</v>
      </c>
      <c r="L61" s="537">
        <f>2741*13*1.338*1.07*1.05</f>
        <v>53565.057819000009</v>
      </c>
      <c r="M61" s="535" t="s">
        <v>477</v>
      </c>
      <c r="N61" s="546"/>
      <c r="O61" s="535" t="s">
        <v>696</v>
      </c>
      <c r="P61" s="535">
        <v>1</v>
      </c>
      <c r="Q61" s="535" t="s">
        <v>716</v>
      </c>
      <c r="R61" s="553"/>
      <c r="S61" s="532" t="s">
        <v>719</v>
      </c>
      <c r="T61" s="533"/>
    </row>
    <row r="62" spans="1:20" s="1" customFormat="1" x14ac:dyDescent="0.25">
      <c r="A62" s="538" t="s">
        <v>715</v>
      </c>
      <c r="B62" s="534" t="s">
        <v>637</v>
      </c>
      <c r="C62" s="535">
        <v>2</v>
      </c>
      <c r="D62" s="534"/>
      <c r="E62" s="535"/>
      <c r="F62" s="535"/>
      <c r="G62" s="535"/>
      <c r="H62" s="535"/>
      <c r="I62" s="535"/>
      <c r="J62" s="535" t="s">
        <v>694</v>
      </c>
      <c r="K62" s="535" t="s">
        <v>695</v>
      </c>
      <c r="L62" s="537">
        <f>2741*13*1.338*1.07*1.05</f>
        <v>53565.057819000009</v>
      </c>
      <c r="M62" s="535" t="s">
        <v>477</v>
      </c>
      <c r="N62" s="546"/>
      <c r="O62" s="535" t="s">
        <v>696</v>
      </c>
      <c r="P62" s="535">
        <v>1</v>
      </c>
      <c r="Q62" s="535" t="s">
        <v>716</v>
      </c>
      <c r="R62" s="553"/>
      <c r="S62" s="532" t="s">
        <v>719</v>
      </c>
      <c r="T62" s="533"/>
    </row>
    <row r="63" spans="1:20" s="1" customFormat="1" x14ac:dyDescent="0.25">
      <c r="A63" s="538" t="s">
        <v>715</v>
      </c>
      <c r="B63" s="539" t="s">
        <v>641</v>
      </c>
      <c r="C63" s="542">
        <v>4</v>
      </c>
      <c r="D63" s="534" t="s">
        <v>664</v>
      </c>
      <c r="E63" s="535"/>
      <c r="F63" s="535"/>
      <c r="G63" s="535"/>
      <c r="H63" s="535"/>
      <c r="I63" s="535"/>
      <c r="J63" s="535" t="s">
        <v>694</v>
      </c>
      <c r="K63" s="535" t="s">
        <v>695</v>
      </c>
      <c r="L63" s="537">
        <f>13*4300*1.338*1.07*1.05</f>
        <v>84031.283700000029</v>
      </c>
      <c r="M63" s="535" t="s">
        <v>477</v>
      </c>
      <c r="N63" s="546"/>
      <c r="O63" s="535" t="s">
        <v>696</v>
      </c>
      <c r="P63" s="535">
        <v>1</v>
      </c>
      <c r="Q63" s="535" t="s">
        <v>716</v>
      </c>
      <c r="R63" s="553"/>
      <c r="S63" s="532" t="s">
        <v>719</v>
      </c>
      <c r="T63" s="533"/>
    </row>
    <row r="64" spans="1:20" s="1" customFormat="1" x14ac:dyDescent="0.25">
      <c r="A64" s="538" t="s">
        <v>715</v>
      </c>
      <c r="B64" s="534" t="s">
        <v>647</v>
      </c>
      <c r="C64" s="535">
        <v>4</v>
      </c>
      <c r="D64" s="534"/>
      <c r="E64" s="535"/>
      <c r="F64" s="535"/>
      <c r="G64" s="535"/>
      <c r="H64" s="535"/>
      <c r="I64" s="535"/>
      <c r="J64" s="535" t="s">
        <v>694</v>
      </c>
      <c r="K64" s="535" t="s">
        <v>695</v>
      </c>
      <c r="L64" s="537">
        <f>2690*13*1.338*1.07*1.05</f>
        <v>52568.407710000007</v>
      </c>
      <c r="M64" s="535" t="s">
        <v>477</v>
      </c>
      <c r="N64" s="546"/>
      <c r="O64" s="535" t="s">
        <v>696</v>
      </c>
      <c r="P64" s="535">
        <v>1</v>
      </c>
      <c r="Q64" s="535" t="s">
        <v>716</v>
      </c>
      <c r="R64" s="553"/>
      <c r="S64" s="532" t="s">
        <v>719</v>
      </c>
      <c r="T64" s="533"/>
    </row>
    <row r="65" spans="1:20" s="1" customFormat="1" x14ac:dyDescent="0.25">
      <c r="A65" s="538" t="s">
        <v>715</v>
      </c>
      <c r="B65" s="534" t="s">
        <v>639</v>
      </c>
      <c r="C65" s="535">
        <v>2</v>
      </c>
      <c r="D65" s="534"/>
      <c r="E65" s="535"/>
      <c r="F65" s="535"/>
      <c r="G65" s="535"/>
      <c r="H65" s="535"/>
      <c r="I65" s="535"/>
      <c r="J65" s="535" t="s">
        <v>694</v>
      </c>
      <c r="K65" s="535" t="s">
        <v>695</v>
      </c>
      <c r="L65" s="537">
        <f>2781*13*1.338*1.07*1.05</f>
        <v>54346.744179000008</v>
      </c>
      <c r="M65" s="535" t="s">
        <v>477</v>
      </c>
      <c r="N65" s="546"/>
      <c r="O65" s="535" t="s">
        <v>696</v>
      </c>
      <c r="P65" s="535">
        <v>1</v>
      </c>
      <c r="Q65" s="535" t="s">
        <v>716</v>
      </c>
      <c r="R65" s="553"/>
      <c r="S65" s="532" t="s">
        <v>719</v>
      </c>
      <c r="T65" s="533"/>
    </row>
    <row r="66" spans="1:20" s="1" customFormat="1" x14ac:dyDescent="0.25">
      <c r="A66" s="538" t="s">
        <v>715</v>
      </c>
      <c r="B66" s="534" t="s">
        <v>649</v>
      </c>
      <c r="C66" s="535">
        <v>2</v>
      </c>
      <c r="D66" s="534"/>
      <c r="E66" s="535"/>
      <c r="F66" s="535"/>
      <c r="G66" s="535"/>
      <c r="H66" s="535"/>
      <c r="I66" s="535"/>
      <c r="J66" s="535" t="s">
        <v>694</v>
      </c>
      <c r="K66" s="535" t="s">
        <v>695</v>
      </c>
      <c r="L66" s="537">
        <f>2750*13*1.338*1.07*1.05</f>
        <v>53740.937250000003</v>
      </c>
      <c r="M66" s="535" t="s">
        <v>477</v>
      </c>
      <c r="N66" s="546"/>
      <c r="O66" s="535" t="s">
        <v>696</v>
      </c>
      <c r="P66" s="535">
        <v>1</v>
      </c>
      <c r="Q66" s="535" t="s">
        <v>716</v>
      </c>
      <c r="R66" s="553"/>
      <c r="S66" s="532" t="s">
        <v>719</v>
      </c>
      <c r="T66" s="533"/>
    </row>
    <row r="67" spans="1:20" s="1" customFormat="1" x14ac:dyDescent="0.25">
      <c r="A67" s="538" t="s">
        <v>715</v>
      </c>
      <c r="B67" s="534" t="s">
        <v>649</v>
      </c>
      <c r="C67" s="535">
        <v>2</v>
      </c>
      <c r="D67" s="534"/>
      <c r="E67" s="535"/>
      <c r="F67" s="535"/>
      <c r="G67" s="535"/>
      <c r="H67" s="535"/>
      <c r="I67" s="535"/>
      <c r="J67" s="535" t="s">
        <v>694</v>
      </c>
      <c r="K67" s="535" t="s">
        <v>695</v>
      </c>
      <c r="L67" s="537">
        <f>2100*13*1.338*1.07*1.05</f>
        <v>41038.533900000009</v>
      </c>
      <c r="M67" s="535" t="s">
        <v>477</v>
      </c>
      <c r="N67" s="546"/>
      <c r="O67" s="535" t="s">
        <v>696</v>
      </c>
      <c r="P67" s="535">
        <v>1</v>
      </c>
      <c r="Q67" s="535" t="s">
        <v>716</v>
      </c>
      <c r="R67" s="553"/>
      <c r="S67" s="532" t="s">
        <v>719</v>
      </c>
      <c r="T67" s="533"/>
    </row>
    <row r="68" spans="1:20" s="1" customFormat="1" x14ac:dyDescent="0.25">
      <c r="A68" s="538" t="s">
        <v>144</v>
      </c>
      <c r="B68" s="534" t="s">
        <v>637</v>
      </c>
      <c r="C68" s="535">
        <v>2</v>
      </c>
      <c r="D68" s="534"/>
      <c r="E68" s="535"/>
      <c r="F68" s="535"/>
      <c r="G68" s="535"/>
      <c r="H68" s="535"/>
      <c r="I68" s="535"/>
      <c r="J68" s="535" t="s">
        <v>694</v>
      </c>
      <c r="K68" s="535" t="s">
        <v>695</v>
      </c>
      <c r="L68" s="537">
        <f>2741*13*1.338*1.07*1.05</f>
        <v>53565.057819000009</v>
      </c>
      <c r="M68" s="535" t="s">
        <v>477</v>
      </c>
      <c r="N68" s="546"/>
      <c r="O68" s="535" t="s">
        <v>696</v>
      </c>
      <c r="P68" s="535">
        <v>1</v>
      </c>
      <c r="Q68" s="535" t="s">
        <v>721</v>
      </c>
      <c r="R68" s="553"/>
      <c r="S68" s="532" t="s">
        <v>722</v>
      </c>
      <c r="T68" s="533"/>
    </row>
    <row r="69" spans="1:20" s="1" customFormat="1" x14ac:dyDescent="0.25">
      <c r="A69" s="538" t="s">
        <v>144</v>
      </c>
      <c r="B69" s="539" t="s">
        <v>641</v>
      </c>
      <c r="C69" s="542">
        <v>4</v>
      </c>
      <c r="D69" s="534" t="s">
        <v>664</v>
      </c>
      <c r="E69" s="535"/>
      <c r="F69" s="535"/>
      <c r="G69" s="535"/>
      <c r="H69" s="535"/>
      <c r="I69" s="535"/>
      <c r="J69" s="535" t="s">
        <v>694</v>
      </c>
      <c r="K69" s="535" t="s">
        <v>695</v>
      </c>
      <c r="L69" s="537">
        <f>13*4300*1.338*1.07*1.05</f>
        <v>84031.283700000029</v>
      </c>
      <c r="M69" s="535" t="s">
        <v>477</v>
      </c>
      <c r="N69" s="546"/>
      <c r="O69" s="535" t="s">
        <v>696</v>
      </c>
      <c r="P69" s="535">
        <v>1</v>
      </c>
      <c r="Q69" s="535" t="s">
        <v>721</v>
      </c>
      <c r="R69" s="553"/>
      <c r="S69" s="532" t="s">
        <v>722</v>
      </c>
      <c r="T69" s="533"/>
    </row>
    <row r="70" spans="1:20" s="1" customFormat="1" x14ac:dyDescent="0.25">
      <c r="A70" s="538" t="s">
        <v>144</v>
      </c>
      <c r="B70" s="534" t="s">
        <v>637</v>
      </c>
      <c r="C70" s="535">
        <v>2</v>
      </c>
      <c r="D70" s="534"/>
      <c r="E70" s="535"/>
      <c r="F70" s="535" t="s">
        <v>572</v>
      </c>
      <c r="G70" s="535"/>
      <c r="H70" s="535"/>
      <c r="I70" s="535"/>
      <c r="J70" s="535" t="s">
        <v>694</v>
      </c>
      <c r="K70" s="535" t="s">
        <v>698</v>
      </c>
      <c r="L70" s="537">
        <f>2741*13*1.338*1.07*1.05</f>
        <v>53565.057819000009</v>
      </c>
      <c r="M70" s="535" t="s">
        <v>477</v>
      </c>
      <c r="N70" s="546"/>
      <c r="O70" s="535" t="s">
        <v>696</v>
      </c>
      <c r="P70" s="535">
        <v>1</v>
      </c>
      <c r="Q70" s="535" t="s">
        <v>721</v>
      </c>
      <c r="R70" s="553"/>
      <c r="S70" s="532" t="s">
        <v>722</v>
      </c>
      <c r="T70" s="533"/>
    </row>
    <row r="71" spans="1:20" s="1" customFormat="1" x14ac:dyDescent="0.25">
      <c r="A71" s="538" t="s">
        <v>715</v>
      </c>
      <c r="B71" s="534" t="s">
        <v>643</v>
      </c>
      <c r="C71" s="535">
        <v>3</v>
      </c>
      <c r="D71" s="534"/>
      <c r="E71" s="535"/>
      <c r="F71" s="535"/>
      <c r="G71" s="535"/>
      <c r="H71" s="535"/>
      <c r="I71" s="535"/>
      <c r="J71" s="535" t="s">
        <v>694</v>
      </c>
      <c r="K71" s="535" t="s">
        <v>695</v>
      </c>
      <c r="L71" s="537">
        <f>4668*13*1.338*1.07*1.05</f>
        <v>91222.798212000023</v>
      </c>
      <c r="M71" s="535" t="s">
        <v>477</v>
      </c>
      <c r="N71" s="548"/>
      <c r="O71" s="535" t="s">
        <v>696</v>
      </c>
      <c r="P71" s="535">
        <v>1</v>
      </c>
      <c r="Q71" s="535" t="s">
        <v>716</v>
      </c>
      <c r="R71" s="553"/>
      <c r="S71" s="532" t="s">
        <v>719</v>
      </c>
      <c r="T71" s="533"/>
    </row>
  </sheetData>
  <mergeCells count="28">
    <mergeCell ref="Q4:Q5"/>
    <mergeCell ref="E3:I3"/>
    <mergeCell ref="A4:A5"/>
    <mergeCell ref="B4:B5"/>
    <mergeCell ref="C4:C5"/>
    <mergeCell ref="D4:D5"/>
    <mergeCell ref="E4:I4"/>
    <mergeCell ref="P4:P5"/>
    <mergeCell ref="J4:J5"/>
    <mergeCell ref="K4:K5"/>
    <mergeCell ref="L4:L5"/>
    <mergeCell ref="M4:M5"/>
    <mergeCell ref="N4:N5"/>
    <mergeCell ref="O4:O5"/>
    <mergeCell ref="Q55:Q56"/>
    <mergeCell ref="E54:I54"/>
    <mergeCell ref="A55:A56"/>
    <mergeCell ref="B55:B56"/>
    <mergeCell ref="C55:C56"/>
    <mergeCell ref="D55:D56"/>
    <mergeCell ref="E55:I55"/>
    <mergeCell ref="J55:J56"/>
    <mergeCell ref="K55:K56"/>
    <mergeCell ref="L55:L56"/>
    <mergeCell ref="M55:M56"/>
    <mergeCell ref="N55:N56"/>
    <mergeCell ref="O55:O56"/>
    <mergeCell ref="P55:P56"/>
  </mergeCells>
  <dataValidations count="4">
    <dataValidation type="list" allowBlank="1" showInputMessage="1" showErrorMessage="1" sqref="D57:D71 B18:B19 D6:D16" xr:uid="{2FA50F5F-40D3-49BA-8634-4445BF51DC1D}">
      <formula1>$D$23:$D$47</formula1>
    </dataValidation>
    <dataValidation type="list" allowBlank="1" showInputMessage="1" showErrorMessage="1" sqref="B57:B71 B6:B16" xr:uid="{5B7E6FBB-AD27-4D99-8790-C4E68A7419C5}">
      <formula1>$B$23:$B$33</formula1>
    </dataValidation>
    <dataValidation type="list" allowBlank="1" showInputMessage="1" showErrorMessage="1" sqref="C57:C71 C18:C19 C6:C16" xr:uid="{B1847730-2270-4259-B82F-709B212312D8}">
      <formula1>$C$23:$C$26</formula1>
    </dataValidation>
    <dataValidation type="list" allowBlank="1" showInputMessage="1" showErrorMessage="1" sqref="C17" xr:uid="{E424042B-DC88-4D77-948C-3660F91EBFC9}">
      <formula1>$C$78:$C$81</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b7919694-6f7e-4008-b8d9-56ebe66c43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F7EF1C1C062143BFFF71E2625A0116" ma:contentTypeVersion="21" ma:contentTypeDescription="Create a new document." ma:contentTypeScope="" ma:versionID="e63d8523aa913cb9fd66e2b79faccd4a">
  <xsd:schema xmlns:xsd="http://www.w3.org/2001/XMLSchema" xmlns:xs="http://www.w3.org/2001/XMLSchema" xmlns:p="http://schemas.microsoft.com/office/2006/metadata/properties" xmlns:ns2="b7919694-6f7e-4008-b8d9-56ebe66c43d7" xmlns:ns3="9b483750-598d-46a0-877d-052f8f804d23" targetNamespace="http://schemas.microsoft.com/office/2006/metadata/properties" ma:root="true" ma:fieldsID="97ac55c0f247301b3a04f17b5a3670cb" ns2:_="" ns3:_="">
    <xsd:import namespace="b7919694-6f7e-4008-b8d9-56ebe66c43d7"/>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19694-6f7e-4008-b8d9-56ebe66c43d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6b22ef0-6631-4e3d-8660-4ec86ac9ea1c}"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7033A-3F22-4301-BC4B-B1C7D3123093}">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http://schemas.microsoft.com/office/2006/metadata/properties"/>
    <ds:schemaRef ds:uri="9b483750-598d-46a0-877d-052f8f804d23"/>
    <ds:schemaRef ds:uri="b7919694-6f7e-4008-b8d9-56ebe66c43d7"/>
    <ds:schemaRef ds:uri="http://purl.org/dc/terms/"/>
  </ds:schemaRefs>
</ds:datastoreItem>
</file>

<file path=customXml/itemProps2.xml><?xml version="1.0" encoding="utf-8"?>
<ds:datastoreItem xmlns:ds="http://schemas.openxmlformats.org/officeDocument/2006/customXml" ds:itemID="{BC5DC840-CA6B-439F-916F-55162E8719A7}">
  <ds:schemaRefs>
    <ds:schemaRef ds:uri="http://schemas.microsoft.com/sharepoint/v3/contenttype/forms"/>
  </ds:schemaRefs>
</ds:datastoreItem>
</file>

<file path=customXml/itemProps3.xml><?xml version="1.0" encoding="utf-8"?>
<ds:datastoreItem xmlns:ds="http://schemas.openxmlformats.org/officeDocument/2006/customXml" ds:itemID="{61556757-B14B-4216-A298-11D109A80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19694-6f7e-4008-b8d9-56ebe66c43d7"/>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1</vt:i4>
      </vt:variant>
    </vt:vector>
  </HeadingPairs>
  <TitlesOfParts>
    <vt:vector size="8" baseType="lpstr">
      <vt:lpstr>kuni 2025 detsember tegevuskava</vt:lpstr>
      <vt:lpstr>Seirearuanne</vt:lpstr>
      <vt:lpstr>Tegevuskava</vt:lpstr>
      <vt:lpstr>KK_lisa</vt:lpstr>
      <vt:lpstr>Ettekande arvutused</vt:lpstr>
      <vt:lpstr>Personal tervise valdkond</vt:lpstr>
      <vt:lpstr>Personal sots-kaitse valdkond</vt:lpstr>
      <vt:lpstr>Tegevuskava!Prindiala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 Vällik</dc:creator>
  <cp:keywords/>
  <dc:description/>
  <cp:lastModifiedBy>Margo Keerme - MKM</cp:lastModifiedBy>
  <cp:revision/>
  <cp:lastPrinted>2024-10-11T13:38:41Z</cp:lastPrinted>
  <dcterms:created xsi:type="dcterms:W3CDTF">2020-07-01T09:13:12Z</dcterms:created>
  <dcterms:modified xsi:type="dcterms:W3CDTF">2024-10-11T13:38:44Z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0x010100CFF7EF1C1C062143BFFF71E2625A0116</vt:lpwstr>
  </property>
  <property fmtid="{D5CDD505-2E9C-101B-9397-08002B2CF9AE}" pid="3" name="_dlc_DocIdItemGuid">
    <vt:lpwstr>7ee34b41-14df-49f6-80df-50f32d67c5a8</vt:lpwstr>
  </property>
  <property fmtid="{D5CDD505-2E9C-101B-9397-08002B2CF9AE}" pid="4" name="MediaServiceImageTags">
    <vt:lpwstr/>
  </property>
  <property fmtid="{D5CDD505-2E9C-101B-9397-08002B2CF9AE}" pid="5" name="MSIP_Label_defa4170-0d19-0005-0004-bc88714345d2_Enabled">
    <vt:lpwstr>true</vt:lpwstr>
  </property>
  <property fmtid="{D5CDD505-2E9C-101B-9397-08002B2CF9AE}" pid="6" name="MSIP_Label_defa4170-0d19-0005-0004-bc88714345d2_SetDate">
    <vt:lpwstr>2024-07-10T07:54:04Z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e65bfbdc-0531-4c75-9ef0-7e6ad50e7d0f</vt:lpwstr>
  </property>
  <property fmtid="{D5CDD505-2E9C-101B-9397-08002B2CF9AE}" pid="11" name="MSIP_Label_defa4170-0d19-0005-0004-bc88714345d2_ContentBits">
    <vt:lpwstr>0</vt:lpwstr>
  </property>
</Properties>
</file>